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EP SPP Trans Formula Rates PSO SWE OKT SWT\2019 Projection\Corrected 2019 Projection\205 &amp; 206 Refile\"/>
    </mc:Choice>
  </mc:AlternateContent>
  <bookViews>
    <workbookView xWindow="690" yWindow="6045" windowWidth="18510" windowHeight="1140" tabRatio="939"/>
  </bookViews>
  <sheets>
    <sheet name="PSO Sch 11 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xyz - blank" sheetId="13" r:id="rId31"/>
  </sheets>
  <externalReferences>
    <externalReference r:id="rId32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0">'P.xyz - blank'!$A$1:$P$165</definedName>
    <definedName name="_xlnm.Print_Area" localSheetId="0">'PSO Sch 11 Rates'!$A$1:$T$49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30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AB47" i="17" l="1"/>
  <c r="F86" i="1" l="1"/>
  <c r="F58" i="1"/>
  <c r="F44" i="1"/>
  <c r="E31" i="1"/>
  <c r="D18" i="1"/>
  <c r="F12" i="1"/>
  <c r="P44" i="17"/>
  <c r="W44" i="17"/>
  <c r="W43" i="17"/>
  <c r="P43" i="17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P130" i="45" s="1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P124" i="45" s="1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P114" i="45" s="1"/>
  <c r="O113" i="45"/>
  <c r="M113" i="45"/>
  <c r="O112" i="45"/>
  <c r="M112" i="45"/>
  <c r="P112" i="45" s="1"/>
  <c r="O111" i="45"/>
  <c r="M111" i="45"/>
  <c r="O110" i="45"/>
  <c r="M110" i="45"/>
  <c r="O109" i="45"/>
  <c r="M109" i="45"/>
  <c r="O108" i="45"/>
  <c r="M108" i="45"/>
  <c r="P108" i="45" s="1"/>
  <c r="O107" i="45"/>
  <c r="M107" i="45"/>
  <c r="O106" i="45"/>
  <c r="M106" i="45"/>
  <c r="O105" i="45"/>
  <c r="M105" i="45"/>
  <c r="O104" i="45"/>
  <c r="M104" i="45"/>
  <c r="O103" i="45"/>
  <c r="M103" i="45"/>
  <c r="P103" i="45" s="1"/>
  <c r="O102" i="45"/>
  <c r="M102" i="45"/>
  <c r="P102" i="45" s="1"/>
  <c r="O101" i="45"/>
  <c r="M101" i="45"/>
  <c r="O100" i="45"/>
  <c r="M100" i="45"/>
  <c r="P100" i="45" s="1"/>
  <c r="O99" i="45"/>
  <c r="M99" i="45"/>
  <c r="P99" i="45" s="1"/>
  <c r="D96" i="45"/>
  <c r="L93" i="45"/>
  <c r="J93" i="45"/>
  <c r="D91" i="45"/>
  <c r="D90" i="45"/>
  <c r="D89" i="45"/>
  <c r="N72" i="45"/>
  <c r="L72" i="45"/>
  <c r="O72" i="45" s="1"/>
  <c r="N71" i="45"/>
  <c r="L71" i="45"/>
  <c r="O71" i="45" s="1"/>
  <c r="N70" i="45"/>
  <c r="L70" i="45"/>
  <c r="N69" i="45"/>
  <c r="L69" i="45"/>
  <c r="O69" i="45" s="1"/>
  <c r="N68" i="45"/>
  <c r="L68" i="45"/>
  <c r="N67" i="45"/>
  <c r="L67" i="45"/>
  <c r="O67" i="45" s="1"/>
  <c r="N66" i="45"/>
  <c r="L66" i="45"/>
  <c r="N65" i="45"/>
  <c r="L65" i="45"/>
  <c r="O65" i="45" s="1"/>
  <c r="N64" i="45"/>
  <c r="L64" i="45"/>
  <c r="O64" i="45" s="1"/>
  <c r="N63" i="45"/>
  <c r="L63" i="45"/>
  <c r="O63" i="45" s="1"/>
  <c r="N62" i="45"/>
  <c r="L62" i="45"/>
  <c r="N61" i="45"/>
  <c r="L61" i="45"/>
  <c r="N60" i="45"/>
  <c r="L60" i="45"/>
  <c r="N59" i="45"/>
  <c r="L59" i="45"/>
  <c r="O59" i="45" s="1"/>
  <c r="N58" i="45"/>
  <c r="L58" i="45"/>
  <c r="N57" i="45"/>
  <c r="L57" i="45"/>
  <c r="O57" i="45" s="1"/>
  <c r="N56" i="45"/>
  <c r="L56" i="45"/>
  <c r="N55" i="45"/>
  <c r="O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O49" i="45" s="1"/>
  <c r="L49" i="45"/>
  <c r="N48" i="45"/>
  <c r="L48" i="45"/>
  <c r="N47" i="45"/>
  <c r="O47" i="45" s="1"/>
  <c r="L47" i="45"/>
  <c r="N46" i="45"/>
  <c r="L46" i="45"/>
  <c r="O46" i="45" s="1"/>
  <c r="N45" i="45"/>
  <c r="O45" i="45" s="1"/>
  <c r="L45" i="45"/>
  <c r="N44" i="45"/>
  <c r="L44" i="45"/>
  <c r="N43" i="45"/>
  <c r="O43" i="45" s="1"/>
  <c r="L43" i="45"/>
  <c r="N42" i="45"/>
  <c r="L42" i="45"/>
  <c r="O42" i="45" s="1"/>
  <c r="N41" i="45"/>
  <c r="O41" i="45" s="1"/>
  <c r="L41" i="45"/>
  <c r="N40" i="45"/>
  <c r="L40" i="45"/>
  <c r="N39" i="45"/>
  <c r="O39" i="45" s="1"/>
  <c r="L39" i="45"/>
  <c r="N38" i="45"/>
  <c r="L38" i="45"/>
  <c r="N37" i="45"/>
  <c r="O37" i="45" s="1"/>
  <c r="L37" i="45"/>
  <c r="N36" i="45"/>
  <c r="L36" i="45"/>
  <c r="O36" i="45" s="1"/>
  <c r="N35" i="45"/>
  <c r="O35" i="45" s="1"/>
  <c r="L35" i="45"/>
  <c r="N34" i="45"/>
  <c r="L34" i="45"/>
  <c r="N33" i="45"/>
  <c r="L33" i="45"/>
  <c r="N32" i="45"/>
  <c r="L32" i="45"/>
  <c r="N31" i="45"/>
  <c r="O31" i="45" s="1"/>
  <c r="L31" i="45"/>
  <c r="N30" i="45"/>
  <c r="L30" i="45"/>
  <c r="N29" i="45"/>
  <c r="O29" i="45" s="1"/>
  <c r="L29" i="45"/>
  <c r="N28" i="45"/>
  <c r="L28" i="45"/>
  <c r="N27" i="45"/>
  <c r="O27" i="45" s="1"/>
  <c r="L27" i="45"/>
  <c r="N26" i="45"/>
  <c r="L26" i="45"/>
  <c r="N25" i="45"/>
  <c r="O25" i="45" s="1"/>
  <c r="L25" i="45"/>
  <c r="N24" i="45"/>
  <c r="L24" i="45"/>
  <c r="N23" i="45"/>
  <c r="L23" i="45"/>
  <c r="N22" i="45"/>
  <c r="L22" i="45"/>
  <c r="N21" i="45"/>
  <c r="L21" i="45"/>
  <c r="N20" i="45"/>
  <c r="L20" i="45"/>
  <c r="N19" i="45"/>
  <c r="L19" i="45"/>
  <c r="N18" i="45"/>
  <c r="L18" i="45"/>
  <c r="N17" i="45"/>
  <c r="L17" i="45"/>
  <c r="C17" i="45"/>
  <c r="K11" i="45"/>
  <c r="I11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P115" i="44" s="1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P102" i="44" s="1"/>
  <c r="O101" i="44"/>
  <c r="P101" i="44" s="1"/>
  <c r="M101" i="44"/>
  <c r="O100" i="44"/>
  <c r="M100" i="44"/>
  <c r="O99" i="44"/>
  <c r="M99" i="44"/>
  <c r="D96" i="44"/>
  <c r="L93" i="44"/>
  <c r="J93" i="44"/>
  <c r="D91" i="44"/>
  <c r="D90" i="44"/>
  <c r="D89" i="44"/>
  <c r="N72" i="44"/>
  <c r="L72" i="44"/>
  <c r="N71" i="44"/>
  <c r="L71" i="44"/>
  <c r="N70" i="44"/>
  <c r="O70" i="44" s="1"/>
  <c r="L70" i="44"/>
  <c r="N69" i="44"/>
  <c r="L69" i="44"/>
  <c r="N68" i="44"/>
  <c r="O68" i="44" s="1"/>
  <c r="L68" i="44"/>
  <c r="N67" i="44"/>
  <c r="L67" i="44"/>
  <c r="O67" i="44" s="1"/>
  <c r="N66" i="44"/>
  <c r="L66" i="44"/>
  <c r="N65" i="44"/>
  <c r="L65" i="44"/>
  <c r="N64" i="44"/>
  <c r="O64" i="44" s="1"/>
  <c r="L64" i="44"/>
  <c r="N63" i="44"/>
  <c r="L63" i="44"/>
  <c r="N62" i="44"/>
  <c r="L62" i="44"/>
  <c r="N61" i="44"/>
  <c r="L61" i="44"/>
  <c r="N60" i="44"/>
  <c r="L60" i="44"/>
  <c r="N59" i="44"/>
  <c r="O59" i="44" s="1"/>
  <c r="L59" i="44"/>
  <c r="N58" i="44"/>
  <c r="O58" i="44" s="1"/>
  <c r="L58" i="44"/>
  <c r="N57" i="44"/>
  <c r="L57" i="44"/>
  <c r="O57" i="44" s="1"/>
  <c r="N56" i="44"/>
  <c r="O56" i="44" s="1"/>
  <c r="L56" i="44"/>
  <c r="N55" i="44"/>
  <c r="L55" i="44"/>
  <c r="N54" i="44"/>
  <c r="O54" i="44" s="1"/>
  <c r="L54" i="44"/>
  <c r="N53" i="44"/>
  <c r="L53" i="44"/>
  <c r="N52" i="44"/>
  <c r="O52" i="44" s="1"/>
  <c r="L52" i="44"/>
  <c r="N51" i="44"/>
  <c r="L51" i="44"/>
  <c r="N50" i="44"/>
  <c r="O50" i="44" s="1"/>
  <c r="L50" i="44"/>
  <c r="N49" i="44"/>
  <c r="L49" i="44"/>
  <c r="N48" i="44"/>
  <c r="O48" i="44" s="1"/>
  <c r="L48" i="44"/>
  <c r="N47" i="44"/>
  <c r="L47" i="44"/>
  <c r="O47" i="44" s="1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O40" i="44" s="1"/>
  <c r="L40" i="44"/>
  <c r="N39" i="44"/>
  <c r="L39" i="44"/>
  <c r="N38" i="44"/>
  <c r="O38" i="44" s="1"/>
  <c r="L38" i="44"/>
  <c r="N37" i="44"/>
  <c r="L37" i="44"/>
  <c r="O37" i="44" s="1"/>
  <c r="N36" i="44"/>
  <c r="O36" i="44" s="1"/>
  <c r="L36" i="44"/>
  <c r="N35" i="44"/>
  <c r="L35" i="44"/>
  <c r="O35" i="44" s="1"/>
  <c r="N34" i="44"/>
  <c r="L34" i="44"/>
  <c r="N33" i="44"/>
  <c r="L33" i="44"/>
  <c r="N32" i="44"/>
  <c r="O32" i="44" s="1"/>
  <c r="L32" i="44"/>
  <c r="N31" i="44"/>
  <c r="L31" i="44"/>
  <c r="O31" i="44" s="1"/>
  <c r="N30" i="44"/>
  <c r="O30" i="44" s="1"/>
  <c r="L30" i="44"/>
  <c r="N29" i="44"/>
  <c r="L29" i="44"/>
  <c r="N28" i="44"/>
  <c r="L28" i="44"/>
  <c r="N27" i="44"/>
  <c r="L27" i="44"/>
  <c r="N26" i="44"/>
  <c r="L26" i="44"/>
  <c r="N25" i="44"/>
  <c r="L25" i="44"/>
  <c r="N24" i="44"/>
  <c r="O24" i="44" s="1"/>
  <c r="L24" i="44"/>
  <c r="N23" i="44"/>
  <c r="L23" i="44"/>
  <c r="N22" i="44"/>
  <c r="L22" i="44"/>
  <c r="N21" i="44"/>
  <c r="L21" i="44"/>
  <c r="N20" i="44"/>
  <c r="O20" i="44" s="1"/>
  <c r="L20" i="44"/>
  <c r="N19" i="44"/>
  <c r="L19" i="44"/>
  <c r="N18" i="44"/>
  <c r="O18" i="44" s="1"/>
  <c r="L18" i="44"/>
  <c r="C17" i="44"/>
  <c r="F17" i="44" s="1"/>
  <c r="D18" i="44" s="1"/>
  <c r="B18" i="44" s="1"/>
  <c r="K11" i="44"/>
  <c r="I11" i="44"/>
  <c r="P1" i="44"/>
  <c r="P83" i="44" s="1"/>
  <c r="O70" i="45"/>
  <c r="C18" i="45"/>
  <c r="C19" i="45"/>
  <c r="C20" i="45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F17" i="45"/>
  <c r="D18" i="45" s="1"/>
  <c r="B18" i="45" s="1"/>
  <c r="L17" i="44"/>
  <c r="N17" i="44"/>
  <c r="O17" i="44" s="1"/>
  <c r="M17" i="40"/>
  <c r="N17" i="40" s="1"/>
  <c r="K17" i="40"/>
  <c r="M18" i="39"/>
  <c r="N18" i="39"/>
  <c r="K18" i="39"/>
  <c r="L18" i="39"/>
  <c r="D18" i="38"/>
  <c r="M18" i="38"/>
  <c r="N18" i="38"/>
  <c r="K18" i="38"/>
  <c r="L18" i="38"/>
  <c r="M18" i="37"/>
  <c r="N18" i="37" s="1"/>
  <c r="K18" i="37"/>
  <c r="L18" i="37" s="1"/>
  <c r="M21" i="31"/>
  <c r="N21" i="31"/>
  <c r="K21" i="31"/>
  <c r="L21" i="31"/>
  <c r="M20" i="30"/>
  <c r="N20" i="30" s="1"/>
  <c r="K20" i="30"/>
  <c r="L20" i="30" s="1"/>
  <c r="M21" i="29"/>
  <c r="N21" i="29"/>
  <c r="K21" i="29"/>
  <c r="L21" i="29"/>
  <c r="M21" i="28"/>
  <c r="N21" i="28" s="1"/>
  <c r="K21" i="28"/>
  <c r="L21" i="28" s="1"/>
  <c r="M22" i="27"/>
  <c r="N22" i="27"/>
  <c r="K22" i="27"/>
  <c r="L22" i="27"/>
  <c r="M25" i="25"/>
  <c r="N25" i="25" s="1"/>
  <c r="K25" i="25"/>
  <c r="L25" i="25" s="1"/>
  <c r="M23" i="24"/>
  <c r="N23" i="24"/>
  <c r="K23" i="24"/>
  <c r="L23" i="24"/>
  <c r="M24" i="23"/>
  <c r="N24" i="23" s="1"/>
  <c r="K24" i="23"/>
  <c r="L24" i="23" s="1"/>
  <c r="M25" i="22"/>
  <c r="N25" i="22"/>
  <c r="O25" i="22" s="1"/>
  <c r="K25" i="22"/>
  <c r="L25" i="22"/>
  <c r="M28" i="11"/>
  <c r="N28" i="11"/>
  <c r="K28" i="11"/>
  <c r="L28" i="11"/>
  <c r="M29" i="10"/>
  <c r="N29" i="10" s="1"/>
  <c r="O29" i="10" s="1"/>
  <c r="L29" i="10"/>
  <c r="K29" i="10"/>
  <c r="M28" i="9"/>
  <c r="N28" i="9" s="1"/>
  <c r="K28" i="9"/>
  <c r="L28" i="9"/>
  <c r="M27" i="8"/>
  <c r="N27" i="8"/>
  <c r="K27" i="8"/>
  <c r="L27" i="8" s="1"/>
  <c r="M29" i="7"/>
  <c r="N29" i="7" s="1"/>
  <c r="O29" i="7" s="1"/>
  <c r="K29" i="7"/>
  <c r="L29" i="7" s="1"/>
  <c r="M27" i="6"/>
  <c r="N27" i="6" s="1"/>
  <c r="K27" i="6"/>
  <c r="L27" i="6"/>
  <c r="M26" i="5"/>
  <c r="N26" i="5"/>
  <c r="K26" i="5"/>
  <c r="L26" i="5" s="1"/>
  <c r="M26" i="4"/>
  <c r="N26" i="4"/>
  <c r="K26" i="4"/>
  <c r="L26" i="4"/>
  <c r="M26" i="3"/>
  <c r="N26" i="3"/>
  <c r="O26" i="3" s="1"/>
  <c r="K26" i="3"/>
  <c r="L26" i="3" s="1"/>
  <c r="F75" i="1"/>
  <c r="F64" i="1"/>
  <c r="F46" i="1"/>
  <c r="F48" i="1" s="1"/>
  <c r="F52" i="1" s="1"/>
  <c r="E35" i="1"/>
  <c r="E18" i="1"/>
  <c r="F13" i="1"/>
  <c r="E36" i="1"/>
  <c r="C89" i="1"/>
  <c r="C75" i="1"/>
  <c r="C58" i="1"/>
  <c r="C46" i="1"/>
  <c r="C35" i="1"/>
  <c r="C31" i="1"/>
  <c r="D17" i="1"/>
  <c r="L19" i="1"/>
  <c r="T14" i="17"/>
  <c r="W42" i="17"/>
  <c r="P42" i="17"/>
  <c r="W41" i="17"/>
  <c r="P41" i="17"/>
  <c r="W40" i="17"/>
  <c r="P40" i="17"/>
  <c r="W39" i="17"/>
  <c r="P39" i="17"/>
  <c r="M17" i="39"/>
  <c r="K17" i="39"/>
  <c r="M17" i="38"/>
  <c r="K17" i="38"/>
  <c r="M17" i="37"/>
  <c r="K17" i="37"/>
  <c r="N101" i="31"/>
  <c r="O101" i="31"/>
  <c r="L101" i="31"/>
  <c r="M101" i="31" s="1"/>
  <c r="P101" i="31" s="1"/>
  <c r="M20" i="31"/>
  <c r="N20" i="31"/>
  <c r="K20" i="31"/>
  <c r="L20" i="31" s="1"/>
  <c r="N100" i="30"/>
  <c r="O100" i="30"/>
  <c r="P100" i="30" s="1"/>
  <c r="L100" i="30"/>
  <c r="M100" i="30"/>
  <c r="M19" i="30"/>
  <c r="N19" i="30"/>
  <c r="O19" i="30" s="1"/>
  <c r="K19" i="30"/>
  <c r="L19" i="30"/>
  <c r="N101" i="29"/>
  <c r="O101" i="29"/>
  <c r="P101" i="29" s="1"/>
  <c r="L101" i="29"/>
  <c r="M101" i="29"/>
  <c r="M20" i="29"/>
  <c r="N20" i="29"/>
  <c r="K20" i="29"/>
  <c r="L20" i="29" s="1"/>
  <c r="N101" i="28"/>
  <c r="O101" i="28" s="1"/>
  <c r="L101" i="28"/>
  <c r="M101" i="28"/>
  <c r="M20" i="28"/>
  <c r="N20" i="28"/>
  <c r="K20" i="28"/>
  <c r="L20" i="28" s="1"/>
  <c r="O20" i="28" s="1"/>
  <c r="N102" i="27"/>
  <c r="O102" i="27"/>
  <c r="P102" i="27"/>
  <c r="L102" i="27"/>
  <c r="M102" i="27"/>
  <c r="M21" i="27"/>
  <c r="N21" i="27" s="1"/>
  <c r="O21" i="27" s="1"/>
  <c r="K21" i="27"/>
  <c r="L21" i="27"/>
  <c r="N105" i="25"/>
  <c r="O105" i="25" s="1"/>
  <c r="L105" i="25"/>
  <c r="M105" i="25"/>
  <c r="M24" i="25"/>
  <c r="N24" i="25"/>
  <c r="K24" i="25"/>
  <c r="L24" i="25"/>
  <c r="N103" i="24"/>
  <c r="O103" i="24" s="1"/>
  <c r="P103" i="24" s="1"/>
  <c r="L103" i="24"/>
  <c r="M103" i="24" s="1"/>
  <c r="M22" i="24"/>
  <c r="N22" i="24" s="1"/>
  <c r="K22" i="24"/>
  <c r="L22" i="24"/>
  <c r="N104" i="23"/>
  <c r="O104" i="23"/>
  <c r="L104" i="23"/>
  <c r="M104" i="23" s="1"/>
  <c r="M23" i="23"/>
  <c r="N23" i="23" s="1"/>
  <c r="O23" i="23" s="1"/>
  <c r="K23" i="23"/>
  <c r="L23" i="23" s="1"/>
  <c r="N105" i="22"/>
  <c r="O105" i="22"/>
  <c r="P105" i="22" s="1"/>
  <c r="L105" i="22"/>
  <c r="M105" i="22"/>
  <c r="M24" i="22"/>
  <c r="N24" i="22"/>
  <c r="K24" i="22"/>
  <c r="L24" i="22"/>
  <c r="N108" i="11"/>
  <c r="O108" i="11" s="1"/>
  <c r="L108" i="11"/>
  <c r="M108" i="11" s="1"/>
  <c r="M27" i="11"/>
  <c r="N27" i="11"/>
  <c r="O27" i="11" s="1"/>
  <c r="K27" i="11"/>
  <c r="L27" i="11"/>
  <c r="N109" i="10"/>
  <c r="O109" i="10"/>
  <c r="L109" i="10"/>
  <c r="M109" i="10"/>
  <c r="M28" i="10"/>
  <c r="N28" i="10"/>
  <c r="K28" i="10"/>
  <c r="L28" i="10" s="1"/>
  <c r="N108" i="9"/>
  <c r="O108" i="9" s="1"/>
  <c r="L108" i="9"/>
  <c r="M108" i="9"/>
  <c r="M27" i="9"/>
  <c r="N27" i="9"/>
  <c r="K27" i="9"/>
  <c r="L27" i="9" s="1"/>
  <c r="O27" i="9" s="1"/>
  <c r="N107" i="8"/>
  <c r="O107" i="8"/>
  <c r="P107" i="8" s="1"/>
  <c r="L107" i="8"/>
  <c r="M107" i="8" s="1"/>
  <c r="N26" i="8"/>
  <c r="O26" i="8" s="1"/>
  <c r="M26" i="8"/>
  <c r="K26" i="8"/>
  <c r="L26" i="8"/>
  <c r="N109" i="7"/>
  <c r="O109" i="7" s="1"/>
  <c r="P109" i="7" s="1"/>
  <c r="L109" i="7"/>
  <c r="M109" i="7" s="1"/>
  <c r="M28" i="7"/>
  <c r="N28" i="7" s="1"/>
  <c r="K28" i="7"/>
  <c r="L28" i="7"/>
  <c r="N107" i="6"/>
  <c r="O107" i="6" s="1"/>
  <c r="L107" i="6"/>
  <c r="M107" i="6" s="1"/>
  <c r="M26" i="6"/>
  <c r="N26" i="6" s="1"/>
  <c r="O26" i="6" s="1"/>
  <c r="K26" i="6"/>
  <c r="L26" i="6"/>
  <c r="N106" i="5"/>
  <c r="O106" i="5"/>
  <c r="L106" i="5"/>
  <c r="M106" i="5"/>
  <c r="M25" i="5"/>
  <c r="N25" i="5"/>
  <c r="K25" i="5"/>
  <c r="L25" i="5" s="1"/>
  <c r="N106" i="4"/>
  <c r="O106" i="4"/>
  <c r="P106" i="4" s="1"/>
  <c r="L106" i="4"/>
  <c r="M106" i="4" s="1"/>
  <c r="M25" i="4"/>
  <c r="N25" i="4"/>
  <c r="O25" i="4" s="1"/>
  <c r="K25" i="4"/>
  <c r="L25" i="4" s="1"/>
  <c r="N106" i="3"/>
  <c r="O106" i="3"/>
  <c r="L106" i="3"/>
  <c r="M106" i="3"/>
  <c r="M25" i="3"/>
  <c r="N25" i="3" s="1"/>
  <c r="O25" i="3" s="1"/>
  <c r="L25" i="3"/>
  <c r="K25" i="3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P128" i="43" s="1"/>
  <c r="M128" i="43"/>
  <c r="O127" i="43"/>
  <c r="M127" i="43"/>
  <c r="P127" i="43" s="1"/>
  <c r="O126" i="43"/>
  <c r="M126" i="43"/>
  <c r="O125" i="43"/>
  <c r="M125" i="43"/>
  <c r="O124" i="43"/>
  <c r="P124" i="43" s="1"/>
  <c r="M124" i="43"/>
  <c r="O123" i="43"/>
  <c r="M123" i="43"/>
  <c r="O122" i="43"/>
  <c r="M122" i="43"/>
  <c r="O121" i="43"/>
  <c r="M121" i="43"/>
  <c r="O120" i="43"/>
  <c r="P120" i="43" s="1"/>
  <c r="M120" i="43"/>
  <c r="O119" i="43"/>
  <c r="M119" i="43"/>
  <c r="O118" i="43"/>
  <c r="P118" i="43" s="1"/>
  <c r="M118" i="43"/>
  <c r="O117" i="43"/>
  <c r="M117" i="43"/>
  <c r="O116" i="43"/>
  <c r="P116" i="43" s="1"/>
  <c r="M116" i="43"/>
  <c r="O115" i="43"/>
  <c r="M115" i="43"/>
  <c r="O114" i="43"/>
  <c r="M114" i="43"/>
  <c r="O113" i="43"/>
  <c r="M113" i="43"/>
  <c r="O112" i="43"/>
  <c r="P112" i="43" s="1"/>
  <c r="M112" i="43"/>
  <c r="O111" i="43"/>
  <c r="M111" i="43"/>
  <c r="P111" i="43" s="1"/>
  <c r="O110" i="43"/>
  <c r="M110" i="43"/>
  <c r="O109" i="43"/>
  <c r="M109" i="43"/>
  <c r="P109" i="43" s="1"/>
  <c r="O108" i="43"/>
  <c r="P108" i="43" s="1"/>
  <c r="M108" i="43"/>
  <c r="O107" i="43"/>
  <c r="M107" i="43"/>
  <c r="P107" i="43" s="1"/>
  <c r="O106" i="43"/>
  <c r="M106" i="43"/>
  <c r="O105" i="43"/>
  <c r="M105" i="43"/>
  <c r="P105" i="43" s="1"/>
  <c r="O104" i="43"/>
  <c r="P104" i="43" s="1"/>
  <c r="M104" i="43"/>
  <c r="O103" i="43"/>
  <c r="M103" i="43"/>
  <c r="O102" i="43"/>
  <c r="M102" i="43"/>
  <c r="O101" i="43"/>
  <c r="M101" i="43"/>
  <c r="P101" i="43" s="1"/>
  <c r="O100" i="43"/>
  <c r="P100" i="43" s="1"/>
  <c r="M100" i="43"/>
  <c r="O99" i="43"/>
  <c r="M99" i="43"/>
  <c r="D96" i="43"/>
  <c r="L93" i="43"/>
  <c r="J93" i="43"/>
  <c r="D91" i="43"/>
  <c r="D89" i="43"/>
  <c r="N72" i="43"/>
  <c r="L72" i="43"/>
  <c r="N71" i="43"/>
  <c r="L71" i="43"/>
  <c r="O71" i="43" s="1"/>
  <c r="N70" i="43"/>
  <c r="L70" i="43"/>
  <c r="N69" i="43"/>
  <c r="L69" i="43"/>
  <c r="O69" i="43" s="1"/>
  <c r="N68" i="43"/>
  <c r="L68" i="43"/>
  <c r="N67" i="43"/>
  <c r="L67" i="43"/>
  <c r="O67" i="43" s="1"/>
  <c r="N66" i="43"/>
  <c r="L66" i="43"/>
  <c r="N65" i="43"/>
  <c r="L65" i="43"/>
  <c r="N64" i="43"/>
  <c r="L64" i="43"/>
  <c r="N63" i="43"/>
  <c r="L63" i="43"/>
  <c r="O63" i="43" s="1"/>
  <c r="N62" i="43"/>
  <c r="L62" i="43"/>
  <c r="N61" i="43"/>
  <c r="L61" i="43"/>
  <c r="O61" i="43" s="1"/>
  <c r="N60" i="43"/>
  <c r="L60" i="43"/>
  <c r="N59" i="43"/>
  <c r="L59" i="43"/>
  <c r="O59" i="43" s="1"/>
  <c r="N58" i="43"/>
  <c r="L58" i="43"/>
  <c r="N57" i="43"/>
  <c r="L57" i="43"/>
  <c r="O57" i="43" s="1"/>
  <c r="N56" i="43"/>
  <c r="L56" i="43"/>
  <c r="N55" i="43"/>
  <c r="L55" i="43"/>
  <c r="O55" i="43" s="1"/>
  <c r="N54" i="43"/>
  <c r="L54" i="43"/>
  <c r="N53" i="43"/>
  <c r="L53" i="43"/>
  <c r="O53" i="43" s="1"/>
  <c r="N52" i="43"/>
  <c r="L52" i="43"/>
  <c r="N51" i="43"/>
  <c r="L51" i="43"/>
  <c r="O51" i="43" s="1"/>
  <c r="N50" i="43"/>
  <c r="L50" i="43"/>
  <c r="N49" i="43"/>
  <c r="L49" i="43"/>
  <c r="O49" i="43" s="1"/>
  <c r="N48" i="43"/>
  <c r="L48" i="43"/>
  <c r="N47" i="43"/>
  <c r="L47" i="43"/>
  <c r="N46" i="43"/>
  <c r="L46" i="43"/>
  <c r="N45" i="43"/>
  <c r="L45" i="43"/>
  <c r="O45" i="43" s="1"/>
  <c r="N44" i="43"/>
  <c r="L44" i="43"/>
  <c r="N43" i="43"/>
  <c r="L43" i="43"/>
  <c r="O43" i="43" s="1"/>
  <c r="N42" i="43"/>
  <c r="L42" i="43"/>
  <c r="N41" i="43"/>
  <c r="L41" i="43"/>
  <c r="O41" i="43" s="1"/>
  <c r="N40" i="43"/>
  <c r="L40" i="43"/>
  <c r="N39" i="43"/>
  <c r="L39" i="43"/>
  <c r="O39" i="43" s="1"/>
  <c r="N38" i="43"/>
  <c r="L38" i="43"/>
  <c r="N37" i="43"/>
  <c r="L37" i="43"/>
  <c r="N36" i="43"/>
  <c r="L36" i="43"/>
  <c r="N35" i="43"/>
  <c r="L35" i="43"/>
  <c r="O35" i="43" s="1"/>
  <c r="N34" i="43"/>
  <c r="L34" i="43"/>
  <c r="N33" i="43"/>
  <c r="L33" i="43"/>
  <c r="O33" i="43" s="1"/>
  <c r="N32" i="43"/>
  <c r="L32" i="43"/>
  <c r="N31" i="43"/>
  <c r="L31" i="43"/>
  <c r="O31" i="43" s="1"/>
  <c r="N30" i="43"/>
  <c r="L30" i="43"/>
  <c r="N29" i="43"/>
  <c r="L29" i="43"/>
  <c r="O29" i="43" s="1"/>
  <c r="N28" i="43"/>
  <c r="L28" i="43"/>
  <c r="N27" i="43"/>
  <c r="L27" i="43"/>
  <c r="O27" i="43" s="1"/>
  <c r="N26" i="43"/>
  <c r="L26" i="43"/>
  <c r="N25" i="43"/>
  <c r="L25" i="43"/>
  <c r="N24" i="43"/>
  <c r="L24" i="43"/>
  <c r="N23" i="43"/>
  <c r="L23" i="43"/>
  <c r="O23" i="43" s="1"/>
  <c r="N22" i="43"/>
  <c r="L22" i="43"/>
  <c r="N21" i="43"/>
  <c r="L21" i="43"/>
  <c r="O21" i="43" s="1"/>
  <c r="N20" i="43"/>
  <c r="L20" i="43"/>
  <c r="N19" i="43"/>
  <c r="L19" i="43"/>
  <c r="O19" i="43" s="1"/>
  <c r="N18" i="43"/>
  <c r="L18" i="43"/>
  <c r="C17" i="43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K11" i="43"/>
  <c r="I11" i="43"/>
  <c r="D90" i="43"/>
  <c r="P1" i="43"/>
  <c r="P83" i="4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P129" i="42" s="1"/>
  <c r="O128" i="42"/>
  <c r="M128" i="42"/>
  <c r="O127" i="42"/>
  <c r="M127" i="42"/>
  <c r="P127" i="42" s="1"/>
  <c r="O126" i="42"/>
  <c r="M126" i="42"/>
  <c r="O125" i="42"/>
  <c r="M125" i="42"/>
  <c r="P125" i="42" s="1"/>
  <c r="O124" i="42"/>
  <c r="M124" i="42"/>
  <c r="O123" i="42"/>
  <c r="M123" i="42"/>
  <c r="P123" i="42" s="1"/>
  <c r="O122" i="42"/>
  <c r="M122" i="42"/>
  <c r="O121" i="42"/>
  <c r="M121" i="42"/>
  <c r="O120" i="42"/>
  <c r="M120" i="42"/>
  <c r="O119" i="42"/>
  <c r="M119" i="42"/>
  <c r="P119" i="42" s="1"/>
  <c r="O118" i="42"/>
  <c r="M118" i="42"/>
  <c r="O117" i="42"/>
  <c r="M117" i="42"/>
  <c r="P117" i="42" s="1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P109" i="42" s="1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P103" i="42" s="1"/>
  <c r="O102" i="42"/>
  <c r="M102" i="42"/>
  <c r="O101" i="42"/>
  <c r="M101" i="42"/>
  <c r="O100" i="42"/>
  <c r="M100" i="42"/>
  <c r="O99" i="42"/>
  <c r="M99" i="42"/>
  <c r="D96" i="42"/>
  <c r="L93" i="42"/>
  <c r="J93" i="42"/>
  <c r="D91" i="42"/>
  <c r="D89" i="42"/>
  <c r="N72" i="42"/>
  <c r="L72" i="42"/>
  <c r="N71" i="42"/>
  <c r="O71" i="42" s="1"/>
  <c r="L71" i="42"/>
  <c r="N70" i="42"/>
  <c r="L70" i="42"/>
  <c r="N69" i="42"/>
  <c r="O69" i="42" s="1"/>
  <c r="L69" i="42"/>
  <c r="N68" i="42"/>
  <c r="L68" i="42"/>
  <c r="N67" i="42"/>
  <c r="O67" i="42" s="1"/>
  <c r="L67" i="42"/>
  <c r="N66" i="42"/>
  <c r="L66" i="42"/>
  <c r="N65" i="42"/>
  <c r="O65" i="42" s="1"/>
  <c r="L65" i="42"/>
  <c r="N64" i="42"/>
  <c r="L64" i="42"/>
  <c r="N63" i="42"/>
  <c r="O63" i="42" s="1"/>
  <c r="L63" i="42"/>
  <c r="N62" i="42"/>
  <c r="L62" i="42"/>
  <c r="N61" i="42"/>
  <c r="O61" i="42" s="1"/>
  <c r="L61" i="42"/>
  <c r="N60" i="42"/>
  <c r="L60" i="42"/>
  <c r="N59" i="42"/>
  <c r="O59" i="42" s="1"/>
  <c r="L59" i="42"/>
  <c r="N58" i="42"/>
  <c r="L58" i="42"/>
  <c r="N57" i="42"/>
  <c r="O57" i="42" s="1"/>
  <c r="L57" i="42"/>
  <c r="N56" i="42"/>
  <c r="L56" i="42"/>
  <c r="O56" i="42"/>
  <c r="N55" i="42"/>
  <c r="L55" i="42"/>
  <c r="N54" i="42"/>
  <c r="L54" i="42"/>
  <c r="O54" i="42" s="1"/>
  <c r="N53" i="42"/>
  <c r="L53" i="42"/>
  <c r="N52" i="42"/>
  <c r="L52" i="42"/>
  <c r="O52" i="42" s="1"/>
  <c r="N51" i="42"/>
  <c r="L51" i="42"/>
  <c r="N50" i="42"/>
  <c r="L50" i="42"/>
  <c r="O50" i="42" s="1"/>
  <c r="N49" i="42"/>
  <c r="L49" i="42"/>
  <c r="N48" i="42"/>
  <c r="L48" i="42"/>
  <c r="O48" i="42" s="1"/>
  <c r="N47" i="42"/>
  <c r="L47" i="42"/>
  <c r="N46" i="42"/>
  <c r="L46" i="42"/>
  <c r="N45" i="42"/>
  <c r="L45" i="42"/>
  <c r="N44" i="42"/>
  <c r="L44" i="42"/>
  <c r="O44" i="42" s="1"/>
  <c r="N43" i="42"/>
  <c r="L43" i="42"/>
  <c r="N42" i="42"/>
  <c r="L42" i="42"/>
  <c r="N41" i="42"/>
  <c r="L41" i="42"/>
  <c r="N40" i="42"/>
  <c r="L40" i="42"/>
  <c r="N39" i="42"/>
  <c r="L39" i="42"/>
  <c r="N38" i="42"/>
  <c r="O38" i="42"/>
  <c r="L38" i="42"/>
  <c r="N37" i="42"/>
  <c r="L37" i="42"/>
  <c r="N36" i="42"/>
  <c r="O36" i="42" s="1"/>
  <c r="L36" i="42"/>
  <c r="N35" i="42"/>
  <c r="L35" i="42"/>
  <c r="N34" i="42"/>
  <c r="O34" i="42" s="1"/>
  <c r="L34" i="42"/>
  <c r="N33" i="42"/>
  <c r="L33" i="42"/>
  <c r="N32" i="42"/>
  <c r="O32" i="42" s="1"/>
  <c r="L32" i="42"/>
  <c r="N31" i="42"/>
  <c r="L31" i="42"/>
  <c r="N30" i="42"/>
  <c r="O30" i="42" s="1"/>
  <c r="L30" i="42"/>
  <c r="N29" i="42"/>
  <c r="L29" i="42"/>
  <c r="N28" i="42"/>
  <c r="O28" i="42" s="1"/>
  <c r="L28" i="42"/>
  <c r="N27" i="42"/>
  <c r="L27" i="42"/>
  <c r="O27" i="42" s="1"/>
  <c r="N26" i="42"/>
  <c r="O26" i="42" s="1"/>
  <c r="L26" i="42"/>
  <c r="N25" i="42"/>
  <c r="L25" i="42"/>
  <c r="N24" i="42"/>
  <c r="L24" i="42"/>
  <c r="N23" i="42"/>
  <c r="L23" i="42"/>
  <c r="N22" i="42"/>
  <c r="L22" i="42"/>
  <c r="N21" i="42"/>
  <c r="L21" i="42"/>
  <c r="N20" i="42"/>
  <c r="O20" i="42" s="1"/>
  <c r="L20" i="42"/>
  <c r="N19" i="42"/>
  <c r="L19" i="42"/>
  <c r="N18" i="42"/>
  <c r="L18" i="42"/>
  <c r="C17" i="42"/>
  <c r="K11" i="42"/>
  <c r="I11" i="42"/>
  <c r="D90" i="42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P128" i="41" s="1"/>
  <c r="O127" i="41"/>
  <c r="M127" i="41"/>
  <c r="P127" i="41" s="1"/>
  <c r="O126" i="41"/>
  <c r="M126" i="41"/>
  <c r="O125" i="41"/>
  <c r="M125" i="41"/>
  <c r="O124" i="41"/>
  <c r="M124" i="41"/>
  <c r="P124" i="41" s="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P114" i="41" s="1"/>
  <c r="O113" i="41"/>
  <c r="M113" i="41"/>
  <c r="O112" i="41"/>
  <c r="M112" i="41"/>
  <c r="O111" i="41"/>
  <c r="M111" i="41"/>
  <c r="O110" i="41"/>
  <c r="M110" i="41"/>
  <c r="P110" i="41" s="1"/>
  <c r="O109" i="41"/>
  <c r="M109" i="41"/>
  <c r="O108" i="41"/>
  <c r="M108" i="41"/>
  <c r="O107" i="41"/>
  <c r="M107" i="41"/>
  <c r="O106" i="41"/>
  <c r="M106" i="41"/>
  <c r="P106" i="41" s="1"/>
  <c r="O105" i="41"/>
  <c r="M105" i="41"/>
  <c r="O104" i="41"/>
  <c r="M104" i="41"/>
  <c r="O103" i="41"/>
  <c r="M103" i="41"/>
  <c r="O102" i="41"/>
  <c r="M102" i="41"/>
  <c r="O101" i="41"/>
  <c r="M101" i="41"/>
  <c r="O100" i="41"/>
  <c r="M100" i="41"/>
  <c r="P100" i="41" s="1"/>
  <c r="O99" i="41"/>
  <c r="M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O68" i="41" s="1"/>
  <c r="L68" i="41"/>
  <c r="N67" i="41"/>
  <c r="L67" i="41"/>
  <c r="N66" i="41"/>
  <c r="L66" i="41"/>
  <c r="N65" i="41"/>
  <c r="L65" i="41"/>
  <c r="N64" i="41"/>
  <c r="O64" i="41" s="1"/>
  <c r="L64" i="41"/>
  <c r="N63" i="41"/>
  <c r="L63" i="41"/>
  <c r="N62" i="41"/>
  <c r="O62" i="41" s="1"/>
  <c r="L62" i="41"/>
  <c r="N61" i="41"/>
  <c r="L61" i="41"/>
  <c r="N60" i="41"/>
  <c r="O60" i="41" s="1"/>
  <c r="L60" i="41"/>
  <c r="N59" i="41"/>
  <c r="L59" i="41"/>
  <c r="N58" i="41"/>
  <c r="O58" i="41" s="1"/>
  <c r="L58" i="41"/>
  <c r="N57" i="41"/>
  <c r="L57" i="41"/>
  <c r="N56" i="41"/>
  <c r="O56" i="41" s="1"/>
  <c r="L56" i="41"/>
  <c r="N55" i="41"/>
  <c r="L55" i="41"/>
  <c r="N54" i="41"/>
  <c r="O54" i="41" s="1"/>
  <c r="L54" i="41"/>
  <c r="N53" i="41"/>
  <c r="L53" i="41"/>
  <c r="N52" i="41"/>
  <c r="L52" i="41"/>
  <c r="N51" i="41"/>
  <c r="L51" i="41"/>
  <c r="N50" i="41"/>
  <c r="O50" i="41" s="1"/>
  <c r="L50" i="41"/>
  <c r="N49" i="41"/>
  <c r="L49" i="41"/>
  <c r="N48" i="41"/>
  <c r="O48" i="41" s="1"/>
  <c r="L48" i="41"/>
  <c r="N47" i="41"/>
  <c r="L47" i="41"/>
  <c r="N46" i="41"/>
  <c r="O46" i="41" s="1"/>
  <c r="L46" i="41"/>
  <c r="N45" i="41"/>
  <c r="L45" i="41"/>
  <c r="N44" i="41"/>
  <c r="O44" i="41" s="1"/>
  <c r="L44" i="41"/>
  <c r="N43" i="41"/>
  <c r="L43" i="41"/>
  <c r="N42" i="41"/>
  <c r="L42" i="41"/>
  <c r="N41" i="41"/>
  <c r="L41" i="41"/>
  <c r="N40" i="41"/>
  <c r="L40" i="41"/>
  <c r="N39" i="41"/>
  <c r="L39" i="41"/>
  <c r="N38" i="41"/>
  <c r="O38" i="41" s="1"/>
  <c r="L38" i="41"/>
  <c r="N37" i="41"/>
  <c r="L37" i="41"/>
  <c r="N36" i="41"/>
  <c r="O36" i="41" s="1"/>
  <c r="L36" i="41"/>
  <c r="N35" i="41"/>
  <c r="L35" i="41"/>
  <c r="N34" i="41"/>
  <c r="O34" i="41" s="1"/>
  <c r="L34" i="41"/>
  <c r="N33" i="41"/>
  <c r="L33" i="41"/>
  <c r="N32" i="41"/>
  <c r="L32" i="41"/>
  <c r="N31" i="41"/>
  <c r="L31" i="41"/>
  <c r="N30" i="41"/>
  <c r="L30" i="41"/>
  <c r="N29" i="41"/>
  <c r="L29" i="41"/>
  <c r="N28" i="41"/>
  <c r="O28" i="41" s="1"/>
  <c r="L28" i="41"/>
  <c r="N27" i="41"/>
  <c r="L27" i="41"/>
  <c r="N26" i="41"/>
  <c r="O26" i="41" s="1"/>
  <c r="L26" i="41"/>
  <c r="N25" i="41"/>
  <c r="L25" i="41"/>
  <c r="N24" i="41"/>
  <c r="O24" i="41" s="1"/>
  <c r="L24" i="41"/>
  <c r="N23" i="41"/>
  <c r="L23" i="41"/>
  <c r="N22" i="41"/>
  <c r="L22" i="41"/>
  <c r="N21" i="41"/>
  <c r="L21" i="41"/>
  <c r="N20" i="41"/>
  <c r="L20" i="41"/>
  <c r="N19" i="41"/>
  <c r="L19" i="41"/>
  <c r="N18" i="41"/>
  <c r="L18" i="41"/>
  <c r="C17" i="4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K11" i="41"/>
  <c r="I11" i="41"/>
  <c r="D90" i="41"/>
  <c r="P1" i="41"/>
  <c r="P83" i="41" s="1"/>
  <c r="F64" i="2"/>
  <c r="E17" i="13"/>
  <c r="F17" i="13" s="1"/>
  <c r="M16" i="2"/>
  <c r="J92" i="41" s="1"/>
  <c r="E36" i="2"/>
  <c r="C36" i="2"/>
  <c r="E35" i="2"/>
  <c r="C35" i="2"/>
  <c r="C36" i="1"/>
  <c r="N100" i="31"/>
  <c r="O100" i="31" s="1"/>
  <c r="L100" i="31"/>
  <c r="M100" i="31"/>
  <c r="M19" i="31"/>
  <c r="N19" i="31"/>
  <c r="O19" i="31" s="1"/>
  <c r="K19" i="31"/>
  <c r="L19" i="31" s="1"/>
  <c r="N99" i="30"/>
  <c r="L99" i="30"/>
  <c r="M18" i="30"/>
  <c r="N18" i="30" s="1"/>
  <c r="K18" i="30"/>
  <c r="L18" i="30" s="1"/>
  <c r="N100" i="29"/>
  <c r="O100" i="29"/>
  <c r="P100" i="29" s="1"/>
  <c r="L100" i="29"/>
  <c r="M100" i="29"/>
  <c r="M19" i="29"/>
  <c r="N19" i="29"/>
  <c r="O19" i="29" s="1"/>
  <c r="K19" i="29"/>
  <c r="L19" i="29"/>
  <c r="N100" i="28"/>
  <c r="O100" i="28" s="1"/>
  <c r="L100" i="28"/>
  <c r="M100" i="28"/>
  <c r="M19" i="28"/>
  <c r="N19" i="28" s="1"/>
  <c r="K19" i="28"/>
  <c r="L19" i="28" s="1"/>
  <c r="N101" i="27"/>
  <c r="O101" i="27"/>
  <c r="L101" i="27"/>
  <c r="M101" i="27"/>
  <c r="M20" i="27"/>
  <c r="N20" i="27" s="1"/>
  <c r="O20" i="27" s="1"/>
  <c r="K20" i="27"/>
  <c r="L20" i="27"/>
  <c r="N104" i="25"/>
  <c r="O104" i="25" s="1"/>
  <c r="L104" i="25"/>
  <c r="M104" i="25" s="1"/>
  <c r="M23" i="25"/>
  <c r="N23" i="25"/>
  <c r="O23" i="25" s="1"/>
  <c r="K23" i="25"/>
  <c r="L23" i="25"/>
  <c r="N102" i="24"/>
  <c r="O102" i="24"/>
  <c r="P102" i="24" s="1"/>
  <c r="L102" i="24"/>
  <c r="M102" i="24"/>
  <c r="M21" i="24"/>
  <c r="N21" i="24" s="1"/>
  <c r="K21" i="24"/>
  <c r="L21" i="24" s="1"/>
  <c r="N103" i="23"/>
  <c r="O103" i="23" s="1"/>
  <c r="L103" i="23"/>
  <c r="M103" i="23" s="1"/>
  <c r="M22" i="23"/>
  <c r="N22" i="23"/>
  <c r="K22" i="23"/>
  <c r="L22" i="23" s="1"/>
  <c r="N104" i="22"/>
  <c r="O104" i="22"/>
  <c r="L104" i="22"/>
  <c r="M104" i="22" s="1"/>
  <c r="P104" i="22" s="1"/>
  <c r="M23" i="22"/>
  <c r="N23" i="22"/>
  <c r="K23" i="22"/>
  <c r="L23" i="22"/>
  <c r="N107" i="11"/>
  <c r="O107" i="11" s="1"/>
  <c r="P107" i="11" s="1"/>
  <c r="L107" i="11"/>
  <c r="M107" i="11" s="1"/>
  <c r="M26" i="11"/>
  <c r="N26" i="11" s="1"/>
  <c r="K26" i="11"/>
  <c r="L26" i="11"/>
  <c r="N108" i="10"/>
  <c r="O108" i="10" s="1"/>
  <c r="P108" i="10" s="1"/>
  <c r="L108" i="10"/>
  <c r="M108" i="10"/>
  <c r="M27" i="10"/>
  <c r="N27" i="10"/>
  <c r="O27" i="10"/>
  <c r="K27" i="10"/>
  <c r="L27" i="10"/>
  <c r="N107" i="9"/>
  <c r="O107" i="9" s="1"/>
  <c r="P107" i="9" s="1"/>
  <c r="L107" i="9"/>
  <c r="M107" i="9"/>
  <c r="M26" i="9"/>
  <c r="N26" i="9" s="1"/>
  <c r="O26" i="9" s="1"/>
  <c r="K26" i="9"/>
  <c r="L26" i="9"/>
  <c r="N106" i="8"/>
  <c r="O106" i="8" s="1"/>
  <c r="L106" i="8"/>
  <c r="M106" i="8"/>
  <c r="M25" i="8"/>
  <c r="N25" i="8"/>
  <c r="K25" i="8"/>
  <c r="L25" i="8" s="1"/>
  <c r="N108" i="7"/>
  <c r="O108" i="7" s="1"/>
  <c r="P108" i="7" s="1"/>
  <c r="L108" i="7"/>
  <c r="M108" i="7" s="1"/>
  <c r="M27" i="7"/>
  <c r="N27" i="7"/>
  <c r="O27" i="7" s="1"/>
  <c r="K27" i="7"/>
  <c r="L27" i="7" s="1"/>
  <c r="M25" i="6"/>
  <c r="N25" i="6"/>
  <c r="K25" i="6"/>
  <c r="L25" i="6"/>
  <c r="O25" i="6"/>
  <c r="N106" i="6"/>
  <c r="O106" i="6"/>
  <c r="L106" i="6"/>
  <c r="M106" i="6"/>
  <c r="N105" i="5"/>
  <c r="O105" i="5" s="1"/>
  <c r="L105" i="5"/>
  <c r="M105" i="5" s="1"/>
  <c r="M24" i="5"/>
  <c r="N24" i="5" s="1"/>
  <c r="O24" i="5" s="1"/>
  <c r="K24" i="5"/>
  <c r="L24" i="5"/>
  <c r="N105" i="4"/>
  <c r="L105" i="4"/>
  <c r="M105" i="4" s="1"/>
  <c r="M24" i="4"/>
  <c r="N24" i="4" s="1"/>
  <c r="K24" i="4"/>
  <c r="L24" i="4"/>
  <c r="M24" i="3"/>
  <c r="N24" i="3"/>
  <c r="K24" i="3"/>
  <c r="L24" i="3"/>
  <c r="O24" i="3" s="1"/>
  <c r="N105" i="3"/>
  <c r="O105" i="3"/>
  <c r="P105" i="3"/>
  <c r="L105" i="3"/>
  <c r="M105" i="3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P129" i="40" s="1"/>
  <c r="O128" i="40"/>
  <c r="M128" i="40"/>
  <c r="O127" i="40"/>
  <c r="M127" i="40"/>
  <c r="O126" i="40"/>
  <c r="M126" i="40"/>
  <c r="O125" i="40"/>
  <c r="M125" i="40"/>
  <c r="P125" i="40" s="1"/>
  <c r="O124" i="40"/>
  <c r="M124" i="40"/>
  <c r="O123" i="40"/>
  <c r="M123" i="40"/>
  <c r="P123" i="40" s="1"/>
  <c r="O122" i="40"/>
  <c r="M122" i="40"/>
  <c r="O121" i="40"/>
  <c r="M121" i="40"/>
  <c r="P121" i="40" s="1"/>
  <c r="O120" i="40"/>
  <c r="M120" i="40"/>
  <c r="O119" i="40"/>
  <c r="M119" i="40"/>
  <c r="P119" i="40" s="1"/>
  <c r="O118" i="40"/>
  <c r="M118" i="40"/>
  <c r="O117" i="40"/>
  <c r="M117" i="40"/>
  <c r="P117" i="40" s="1"/>
  <c r="O116" i="40"/>
  <c r="M116" i="40"/>
  <c r="O115" i="40"/>
  <c r="M115" i="40"/>
  <c r="O114" i="40"/>
  <c r="M114" i="40"/>
  <c r="O113" i="40"/>
  <c r="M113" i="40"/>
  <c r="P113" i="40" s="1"/>
  <c r="O112" i="40"/>
  <c r="M112" i="40"/>
  <c r="O111" i="40"/>
  <c r="M111" i="40"/>
  <c r="O110" i="40"/>
  <c r="M110" i="40"/>
  <c r="O109" i="40"/>
  <c r="M109" i="40"/>
  <c r="O108" i="40"/>
  <c r="P108" i="40" s="1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M101" i="40"/>
  <c r="O100" i="40"/>
  <c r="M100" i="40"/>
  <c r="O99" i="40"/>
  <c r="M99" i="40"/>
  <c r="P99" i="40" s="1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O62" i="40" s="1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O51" i="40" s="1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O35" i="40" s="1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L20" i="40"/>
  <c r="N19" i="40"/>
  <c r="L19" i="40"/>
  <c r="N18" i="40"/>
  <c r="L18" i="40"/>
  <c r="L17" i="40"/>
  <c r="C17" i="40"/>
  <c r="C18" i="40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P126" i="39" s="1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P117" i="39" s="1"/>
  <c r="M117" i="39"/>
  <c r="O116" i="39"/>
  <c r="M116" i="39"/>
  <c r="O115" i="39"/>
  <c r="M115" i="39"/>
  <c r="O114" i="39"/>
  <c r="M114" i="39"/>
  <c r="O113" i="39"/>
  <c r="P113" i="39" s="1"/>
  <c r="M113" i="39"/>
  <c r="O112" i="39"/>
  <c r="M112" i="39"/>
  <c r="O111" i="39"/>
  <c r="P111" i="39" s="1"/>
  <c r="M111" i="39"/>
  <c r="O110" i="39"/>
  <c r="M110" i="39"/>
  <c r="O109" i="39"/>
  <c r="P109" i="39" s="1"/>
  <c r="M109" i="39"/>
  <c r="O108" i="39"/>
  <c r="M108" i="39"/>
  <c r="O107" i="39"/>
  <c r="M107" i="39"/>
  <c r="O106" i="39"/>
  <c r="M106" i="39"/>
  <c r="O105" i="39"/>
  <c r="P105" i="39" s="1"/>
  <c r="M105" i="39"/>
  <c r="O104" i="39"/>
  <c r="M104" i="39"/>
  <c r="O103" i="39"/>
  <c r="M103" i="39"/>
  <c r="O102" i="39"/>
  <c r="M102" i="39"/>
  <c r="O101" i="39"/>
  <c r="M101" i="39"/>
  <c r="O100" i="39"/>
  <c r="M100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O54" i="39" s="1"/>
  <c r="N53" i="39"/>
  <c r="L53" i="39"/>
  <c r="N52" i="39"/>
  <c r="L52" i="39"/>
  <c r="N51" i="39"/>
  <c r="L51" i="39"/>
  <c r="O51" i="39" s="1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O29" i="39" s="1"/>
  <c r="N28" i="39"/>
  <c r="L28" i="39"/>
  <c r="N27" i="39"/>
  <c r="L27" i="39"/>
  <c r="N26" i="39"/>
  <c r="L26" i="39"/>
  <c r="N25" i="39"/>
  <c r="L25" i="39"/>
  <c r="N24" i="39"/>
  <c r="L24" i="39"/>
  <c r="N23" i="39"/>
  <c r="L23" i="39"/>
  <c r="O23" i="39" s="1"/>
  <c r="N22" i="39"/>
  <c r="L22" i="39"/>
  <c r="N21" i="39"/>
  <c r="L21" i="39"/>
  <c r="N20" i="39"/>
  <c r="L20" i="39"/>
  <c r="N19" i="39"/>
  <c r="L19" i="39"/>
  <c r="N17" i="39"/>
  <c r="L17" i="39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P128" i="38" s="1"/>
  <c r="M128" i="38"/>
  <c r="O127" i="38"/>
  <c r="M127" i="38"/>
  <c r="O126" i="38"/>
  <c r="P126" i="38" s="1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P119" i="38" s="1"/>
  <c r="M119" i="38"/>
  <c r="O118" i="38"/>
  <c r="M118" i="38"/>
  <c r="O117" i="38"/>
  <c r="M117" i="38"/>
  <c r="O116" i="38"/>
  <c r="M116" i="38"/>
  <c r="O115" i="38"/>
  <c r="P115" i="38" s="1"/>
  <c r="M115" i="38"/>
  <c r="O114" i="38"/>
  <c r="M114" i="38"/>
  <c r="O113" i="38"/>
  <c r="P113" i="38" s="1"/>
  <c r="M113" i="38"/>
  <c r="O112" i="38"/>
  <c r="M112" i="38"/>
  <c r="O111" i="38"/>
  <c r="M111" i="38"/>
  <c r="O110" i="38"/>
  <c r="M110" i="38"/>
  <c r="O109" i="38"/>
  <c r="P109" i="38" s="1"/>
  <c r="M109" i="38"/>
  <c r="O108" i="38"/>
  <c r="M108" i="38"/>
  <c r="O107" i="38"/>
  <c r="P107" i="38" s="1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101" i="38"/>
  <c r="O100" i="38"/>
  <c r="M100" i="38"/>
  <c r="O99" i="38"/>
  <c r="M99" i="38"/>
  <c r="D96" i="38"/>
  <c r="L93" i="38"/>
  <c r="J93" i="38"/>
  <c r="D91" i="38"/>
  <c r="D89" i="38"/>
  <c r="N72" i="38"/>
  <c r="L72" i="38"/>
  <c r="N71" i="38"/>
  <c r="L71" i="38"/>
  <c r="O71" i="38" s="1"/>
  <c r="N70" i="38"/>
  <c r="L70" i="38"/>
  <c r="O70" i="38" s="1"/>
  <c r="N69" i="38"/>
  <c r="L69" i="38"/>
  <c r="N68" i="38"/>
  <c r="L68" i="38"/>
  <c r="O68" i="38" s="1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O57" i="38" s="1"/>
  <c r="L57" i="38"/>
  <c r="N56" i="38"/>
  <c r="L56" i="38"/>
  <c r="N55" i="38"/>
  <c r="L55" i="38"/>
  <c r="N54" i="38"/>
  <c r="L54" i="38"/>
  <c r="N53" i="38"/>
  <c r="O53" i="38" s="1"/>
  <c r="L53" i="38"/>
  <c r="N52" i="38"/>
  <c r="L52" i="38"/>
  <c r="N51" i="38"/>
  <c r="L51" i="38"/>
  <c r="N50" i="38"/>
  <c r="L50" i="38"/>
  <c r="N49" i="38"/>
  <c r="L49" i="38"/>
  <c r="N48" i="38"/>
  <c r="L48" i="38"/>
  <c r="O48" i="38" s="1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O31" i="38" s="1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O22" i="38" s="1"/>
  <c r="N21" i="38"/>
  <c r="L21" i="38"/>
  <c r="N20" i="38"/>
  <c r="L20" i="38"/>
  <c r="O20" i="38" s="1"/>
  <c r="N19" i="38"/>
  <c r="L19" i="38"/>
  <c r="N17" i="38"/>
  <c r="L17" i="38"/>
  <c r="C18" i="38"/>
  <c r="C19" i="38" s="1"/>
  <c r="C20" i="38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P125" i="37" s="1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P117" i="37" s="1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M101" i="37"/>
  <c r="O100" i="37"/>
  <c r="M100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O65" i="37" s="1"/>
  <c r="L65" i="37"/>
  <c r="N64" i="37"/>
  <c r="L64" i="37"/>
  <c r="N63" i="37"/>
  <c r="O63" i="37" s="1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L21" i="37"/>
  <c r="N20" i="37"/>
  <c r="L20" i="37"/>
  <c r="N19" i="37"/>
  <c r="L19" i="37"/>
  <c r="N17" i="37"/>
  <c r="L17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47" i="17"/>
  <c r="O47" i="17"/>
  <c r="N47" i="17"/>
  <c r="M47" i="17"/>
  <c r="H47" i="17"/>
  <c r="N99" i="31"/>
  <c r="O99" i="31"/>
  <c r="L99" i="31"/>
  <c r="M99" i="31"/>
  <c r="D96" i="31"/>
  <c r="M18" i="31"/>
  <c r="N18" i="31"/>
  <c r="K18" i="31"/>
  <c r="L18" i="31" s="1"/>
  <c r="M17" i="30"/>
  <c r="N17" i="30" s="1"/>
  <c r="O17" i="30" s="1"/>
  <c r="K17" i="30"/>
  <c r="L17" i="30"/>
  <c r="N99" i="29"/>
  <c r="O99" i="29" s="1"/>
  <c r="L99" i="29"/>
  <c r="M99" i="29"/>
  <c r="M18" i="29"/>
  <c r="N18" i="29"/>
  <c r="K18" i="29"/>
  <c r="L18" i="29" s="1"/>
  <c r="N99" i="28"/>
  <c r="O99" i="28" s="1"/>
  <c r="P99" i="28" s="1"/>
  <c r="L99" i="28"/>
  <c r="M99" i="28" s="1"/>
  <c r="M18" i="28"/>
  <c r="N18" i="28" s="1"/>
  <c r="K18" i="28"/>
  <c r="L18" i="28"/>
  <c r="N103" i="25"/>
  <c r="O103" i="25" s="1"/>
  <c r="L103" i="25"/>
  <c r="M103" i="25" s="1"/>
  <c r="M22" i="25"/>
  <c r="N22" i="25" s="1"/>
  <c r="K22" i="25"/>
  <c r="L22" i="25"/>
  <c r="N101" i="24"/>
  <c r="O101" i="24" s="1"/>
  <c r="L101" i="24"/>
  <c r="M101" i="24" s="1"/>
  <c r="M20" i="24"/>
  <c r="N20" i="24" s="1"/>
  <c r="O20" i="24" s="1"/>
  <c r="K20" i="24"/>
  <c r="L20" i="24" s="1"/>
  <c r="M21" i="23"/>
  <c r="N21" i="23" s="1"/>
  <c r="K21" i="23"/>
  <c r="L21" i="23"/>
  <c r="N102" i="23"/>
  <c r="O102" i="23"/>
  <c r="L102" i="23"/>
  <c r="M102" i="23" s="1"/>
  <c r="N103" i="22"/>
  <c r="O103" i="22"/>
  <c r="L103" i="22"/>
  <c r="M103" i="22"/>
  <c r="M22" i="22"/>
  <c r="N22" i="22"/>
  <c r="K22" i="22"/>
  <c r="L22" i="22" s="1"/>
  <c r="N106" i="11"/>
  <c r="O106" i="11"/>
  <c r="L106" i="11"/>
  <c r="M106" i="11" s="1"/>
  <c r="M25" i="11"/>
  <c r="N25" i="11"/>
  <c r="K25" i="11"/>
  <c r="L25" i="11" s="1"/>
  <c r="N107" i="10"/>
  <c r="O107" i="10" s="1"/>
  <c r="P107" i="10" s="1"/>
  <c r="L107" i="10"/>
  <c r="M107" i="10" s="1"/>
  <c r="M26" i="10"/>
  <c r="N26" i="10"/>
  <c r="K26" i="10"/>
  <c r="L26" i="10" s="1"/>
  <c r="N106" i="9"/>
  <c r="O106" i="9" s="1"/>
  <c r="L106" i="9"/>
  <c r="M106" i="9" s="1"/>
  <c r="M25" i="9"/>
  <c r="N25" i="9"/>
  <c r="K25" i="9"/>
  <c r="L25" i="9" s="1"/>
  <c r="N105" i="8"/>
  <c r="O105" i="8" s="1"/>
  <c r="L105" i="8"/>
  <c r="M105" i="8" s="1"/>
  <c r="M24" i="8"/>
  <c r="N24" i="8"/>
  <c r="K24" i="8"/>
  <c r="N107" i="7"/>
  <c r="O107" i="7"/>
  <c r="L107" i="7"/>
  <c r="M107" i="7" s="1"/>
  <c r="M26" i="7"/>
  <c r="N26" i="7" s="1"/>
  <c r="K26" i="7"/>
  <c r="L26" i="7" s="1"/>
  <c r="N105" i="6"/>
  <c r="O105" i="6" s="1"/>
  <c r="L105" i="6"/>
  <c r="M105" i="6" s="1"/>
  <c r="M24" i="6"/>
  <c r="N24" i="6"/>
  <c r="K24" i="6"/>
  <c r="L24" i="6" s="1"/>
  <c r="N104" i="5"/>
  <c r="O104" i="5" s="1"/>
  <c r="L104" i="5"/>
  <c r="M104" i="5" s="1"/>
  <c r="M23" i="5"/>
  <c r="N23" i="5"/>
  <c r="K23" i="5"/>
  <c r="L23" i="5" s="1"/>
  <c r="N104" i="4"/>
  <c r="O104" i="4" s="1"/>
  <c r="L104" i="4"/>
  <c r="M104" i="4" s="1"/>
  <c r="M23" i="4"/>
  <c r="N23" i="4"/>
  <c r="K23" i="4"/>
  <c r="L23" i="4" s="1"/>
  <c r="N104" i="3"/>
  <c r="O104" i="3" s="1"/>
  <c r="L104" i="3"/>
  <c r="M104" i="3" s="1"/>
  <c r="M23" i="3"/>
  <c r="N23" i="3"/>
  <c r="K23" i="3"/>
  <c r="L23" i="3" s="1"/>
  <c r="N100" i="27"/>
  <c r="O100" i="27" s="1"/>
  <c r="L100" i="27"/>
  <c r="M100" i="27" s="1"/>
  <c r="N99" i="27"/>
  <c r="O99" i="27"/>
  <c r="P99" i="27" s="1"/>
  <c r="L99" i="27"/>
  <c r="M99" i="27"/>
  <c r="M19" i="27"/>
  <c r="N19" i="27" s="1"/>
  <c r="K19" i="27"/>
  <c r="L19" i="27" s="1"/>
  <c r="M17" i="31"/>
  <c r="N17" i="31" s="1"/>
  <c r="K17" i="31"/>
  <c r="L17" i="31"/>
  <c r="W45" i="17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P126" i="31" s="1"/>
  <c r="M126" i="31"/>
  <c r="O125" i="31"/>
  <c r="M125" i="31"/>
  <c r="O124" i="31"/>
  <c r="M124" i="31"/>
  <c r="O123" i="31"/>
  <c r="M123" i="31"/>
  <c r="P123" i="31" s="1"/>
  <c r="O122" i="31"/>
  <c r="P122" i="31" s="1"/>
  <c r="M122" i="31"/>
  <c r="O121" i="31"/>
  <c r="M121" i="31"/>
  <c r="P121" i="31" s="1"/>
  <c r="O120" i="31"/>
  <c r="M120" i="31"/>
  <c r="O119" i="31"/>
  <c r="M119" i="31"/>
  <c r="P119" i="31" s="1"/>
  <c r="O118" i="31"/>
  <c r="M118" i="31"/>
  <c r="O117" i="31"/>
  <c r="M117" i="31"/>
  <c r="O116" i="31"/>
  <c r="M116" i="31"/>
  <c r="O115" i="31"/>
  <c r="M115" i="31"/>
  <c r="P115" i="31" s="1"/>
  <c r="O114" i="31"/>
  <c r="P114" i="31" s="1"/>
  <c r="M114" i="31"/>
  <c r="O113" i="31"/>
  <c r="M113" i="31"/>
  <c r="O112" i="31"/>
  <c r="P112" i="31" s="1"/>
  <c r="M112" i="31"/>
  <c r="O111" i="31"/>
  <c r="M111" i="31"/>
  <c r="O110" i="31"/>
  <c r="P110" i="31" s="1"/>
  <c r="M110" i="31"/>
  <c r="O109" i="31"/>
  <c r="M109" i="31"/>
  <c r="P109" i="31" s="1"/>
  <c r="O108" i="31"/>
  <c r="M108" i="31"/>
  <c r="O107" i="31"/>
  <c r="M107" i="31"/>
  <c r="O106" i="31"/>
  <c r="M106" i="31"/>
  <c r="O105" i="31"/>
  <c r="M105" i="31"/>
  <c r="O104" i="31"/>
  <c r="P104" i="31" s="1"/>
  <c r="M104" i="31"/>
  <c r="O103" i="31"/>
  <c r="M103" i="31"/>
  <c r="O102" i="31"/>
  <c r="M102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O55" i="31" s="1"/>
  <c r="L55" i="31"/>
  <c r="N54" i="31"/>
  <c r="L54" i="31"/>
  <c r="N53" i="31"/>
  <c r="L53" i="31"/>
  <c r="N52" i="31"/>
  <c r="L52" i="31"/>
  <c r="N51" i="31"/>
  <c r="L51" i="31"/>
  <c r="N50" i="31"/>
  <c r="L50" i="31"/>
  <c r="N49" i="31"/>
  <c r="O49" i="31" s="1"/>
  <c r="L49" i="31"/>
  <c r="N48" i="31"/>
  <c r="L48" i="31"/>
  <c r="N47" i="31"/>
  <c r="O47" i="31" s="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O37" i="31" s="1"/>
  <c r="L37" i="31"/>
  <c r="N36" i="31"/>
  <c r="L36" i="31"/>
  <c r="N35" i="31"/>
  <c r="L35" i="31"/>
  <c r="N34" i="31"/>
  <c r="L34" i="31"/>
  <c r="N33" i="31"/>
  <c r="O33" i="31" s="1"/>
  <c r="L33" i="31"/>
  <c r="N32" i="31"/>
  <c r="L32" i="31"/>
  <c r="N31" i="31"/>
  <c r="L31" i="31"/>
  <c r="N30" i="31"/>
  <c r="L30" i="31"/>
  <c r="N29" i="31"/>
  <c r="O29" i="31" s="1"/>
  <c r="L29" i="31"/>
  <c r="N28" i="31"/>
  <c r="L28" i="31"/>
  <c r="N27" i="31"/>
  <c r="O27" i="31" s="1"/>
  <c r="L27" i="31"/>
  <c r="N26" i="31"/>
  <c r="L26" i="31"/>
  <c r="N25" i="31"/>
  <c r="O25" i="31" s="1"/>
  <c r="L25" i="31"/>
  <c r="N24" i="31"/>
  <c r="L24" i="31"/>
  <c r="N23" i="31"/>
  <c r="L23" i="31"/>
  <c r="N22" i="31"/>
  <c r="L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P129" i="30" s="1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P123" i="30" s="1"/>
  <c r="O122" i="30"/>
  <c r="M122" i="30"/>
  <c r="O121" i="30"/>
  <c r="M121" i="30"/>
  <c r="P121" i="30" s="1"/>
  <c r="O120" i="30"/>
  <c r="M120" i="30"/>
  <c r="O119" i="30"/>
  <c r="M119" i="30"/>
  <c r="O118" i="30"/>
  <c r="P118" i="30" s="1"/>
  <c r="M118" i="30"/>
  <c r="O117" i="30"/>
  <c r="M117" i="30"/>
  <c r="O116" i="30"/>
  <c r="M116" i="30"/>
  <c r="O115" i="30"/>
  <c r="M115" i="30"/>
  <c r="O114" i="30"/>
  <c r="M114" i="30"/>
  <c r="O113" i="30"/>
  <c r="M113" i="30"/>
  <c r="P113" i="30" s="1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P107" i="30" s="1"/>
  <c r="O106" i="30"/>
  <c r="M106" i="30"/>
  <c r="O105" i="30"/>
  <c r="M105" i="30"/>
  <c r="O104" i="30"/>
  <c r="M104" i="30"/>
  <c r="O103" i="30"/>
  <c r="M103" i="30"/>
  <c r="O102" i="30"/>
  <c r="P102" i="30" s="1"/>
  <c r="M102" i="30"/>
  <c r="O101" i="30"/>
  <c r="M101" i="30"/>
  <c r="P101" i="30" s="1"/>
  <c r="O99" i="30"/>
  <c r="M99" i="30"/>
  <c r="D96" i="30"/>
  <c r="L93" i="30"/>
  <c r="J93" i="30"/>
  <c r="E91" i="30"/>
  <c r="D91" i="30"/>
  <c r="D89" i="30"/>
  <c r="N72" i="30"/>
  <c r="L72" i="30"/>
  <c r="N71" i="30"/>
  <c r="L71" i="30"/>
  <c r="N70" i="30"/>
  <c r="O70" i="30" s="1"/>
  <c r="L70" i="30"/>
  <c r="N69" i="30"/>
  <c r="L69" i="30"/>
  <c r="N68" i="30"/>
  <c r="O68" i="30" s="1"/>
  <c r="L68" i="30"/>
  <c r="N67" i="30"/>
  <c r="L67" i="30"/>
  <c r="N66" i="30"/>
  <c r="O66" i="30" s="1"/>
  <c r="L66" i="30"/>
  <c r="N65" i="30"/>
  <c r="L65" i="30"/>
  <c r="N64" i="30"/>
  <c r="O64" i="30" s="1"/>
  <c r="L64" i="30"/>
  <c r="N63" i="30"/>
  <c r="L63" i="30"/>
  <c r="N62" i="30"/>
  <c r="O62" i="30" s="1"/>
  <c r="L62" i="30"/>
  <c r="N61" i="30"/>
  <c r="L61" i="30"/>
  <c r="N60" i="30"/>
  <c r="O60" i="30" s="1"/>
  <c r="L60" i="30"/>
  <c r="N59" i="30"/>
  <c r="L59" i="30"/>
  <c r="N58" i="30"/>
  <c r="O58" i="30" s="1"/>
  <c r="L58" i="30"/>
  <c r="N57" i="30"/>
  <c r="L57" i="30"/>
  <c r="N56" i="30"/>
  <c r="O56" i="30" s="1"/>
  <c r="L56" i="30"/>
  <c r="N55" i="30"/>
  <c r="L55" i="30"/>
  <c r="N54" i="30"/>
  <c r="O54" i="30" s="1"/>
  <c r="L54" i="30"/>
  <c r="N53" i="30"/>
  <c r="L53" i="30"/>
  <c r="N52" i="30"/>
  <c r="O52" i="30" s="1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O44" i="30" s="1"/>
  <c r="L44" i="30"/>
  <c r="N43" i="30"/>
  <c r="L43" i="30"/>
  <c r="N42" i="30"/>
  <c r="O42" i="30" s="1"/>
  <c r="L42" i="30"/>
  <c r="N41" i="30"/>
  <c r="L41" i="30"/>
  <c r="N40" i="30"/>
  <c r="O40" i="30" s="1"/>
  <c r="L40" i="30"/>
  <c r="N39" i="30"/>
  <c r="L39" i="30"/>
  <c r="N38" i="30"/>
  <c r="O38" i="30" s="1"/>
  <c r="L38" i="30"/>
  <c r="N37" i="30"/>
  <c r="L37" i="30"/>
  <c r="N36" i="30"/>
  <c r="L36" i="30"/>
  <c r="N35" i="30"/>
  <c r="L35" i="30"/>
  <c r="N34" i="30"/>
  <c r="O34" i="30" s="1"/>
  <c r="L34" i="30"/>
  <c r="N33" i="30"/>
  <c r="L33" i="30"/>
  <c r="N32" i="30"/>
  <c r="L32" i="30"/>
  <c r="N31" i="30"/>
  <c r="L31" i="30"/>
  <c r="N30" i="30"/>
  <c r="O30" i="30" s="1"/>
  <c r="L30" i="30"/>
  <c r="N29" i="30"/>
  <c r="L29" i="30"/>
  <c r="N28" i="30"/>
  <c r="L28" i="30"/>
  <c r="N27" i="30"/>
  <c r="L27" i="30"/>
  <c r="N26" i="30"/>
  <c r="L26" i="30"/>
  <c r="N25" i="30"/>
  <c r="L25" i="30"/>
  <c r="N24" i="30"/>
  <c r="O24" i="30" s="1"/>
  <c r="L24" i="30"/>
  <c r="N23" i="30"/>
  <c r="L23" i="30"/>
  <c r="N22" i="30"/>
  <c r="O22" i="30" s="1"/>
  <c r="L22" i="30"/>
  <c r="N21" i="30"/>
  <c r="L21" i="30"/>
  <c r="C17" i="30"/>
  <c r="C18" i="30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/>
  <c r="K17" i="29"/>
  <c r="L17" i="29"/>
  <c r="M17" i="28"/>
  <c r="N17" i="28" s="1"/>
  <c r="K17" i="28"/>
  <c r="L17" i="28" s="1"/>
  <c r="N102" i="25"/>
  <c r="O102" i="25"/>
  <c r="L102" i="25"/>
  <c r="M102" i="25" s="1"/>
  <c r="M21" i="25"/>
  <c r="N21" i="25"/>
  <c r="K21" i="25"/>
  <c r="L21" i="25" s="1"/>
  <c r="N100" i="24"/>
  <c r="O100" i="24"/>
  <c r="P100" i="24" s="1"/>
  <c r="L100" i="24"/>
  <c r="M100" i="24"/>
  <c r="M19" i="24"/>
  <c r="N19" i="24" s="1"/>
  <c r="K19" i="24"/>
  <c r="L19" i="24"/>
  <c r="N101" i="23"/>
  <c r="O101" i="23" s="1"/>
  <c r="P101" i="23" s="1"/>
  <c r="L101" i="23"/>
  <c r="M101" i="23" s="1"/>
  <c r="M20" i="23"/>
  <c r="N20" i="23" s="1"/>
  <c r="O20" i="23" s="1"/>
  <c r="K20" i="23"/>
  <c r="L20" i="23" s="1"/>
  <c r="N102" i="22"/>
  <c r="O102" i="22"/>
  <c r="P102" i="22" s="1"/>
  <c r="L102" i="22"/>
  <c r="M102" i="22" s="1"/>
  <c r="M21" i="22"/>
  <c r="N21" i="22"/>
  <c r="K21" i="22"/>
  <c r="L21" i="22" s="1"/>
  <c r="N105" i="11"/>
  <c r="O105" i="11" s="1"/>
  <c r="L105" i="11"/>
  <c r="M105" i="11" s="1"/>
  <c r="M24" i="11"/>
  <c r="K24" i="11"/>
  <c r="L24" i="11" s="1"/>
  <c r="N106" i="10"/>
  <c r="O106" i="10"/>
  <c r="L106" i="10"/>
  <c r="M106" i="10" s="1"/>
  <c r="M25" i="10"/>
  <c r="N25" i="10"/>
  <c r="K25" i="10"/>
  <c r="L25" i="10" s="1"/>
  <c r="N105" i="9"/>
  <c r="O105" i="9"/>
  <c r="P105" i="9" s="1"/>
  <c r="L105" i="9"/>
  <c r="M105" i="9" s="1"/>
  <c r="M24" i="9"/>
  <c r="N24" i="9"/>
  <c r="O24" i="9" s="1"/>
  <c r="K24" i="9"/>
  <c r="L24" i="9"/>
  <c r="N104" i="8"/>
  <c r="O104" i="8" s="1"/>
  <c r="L104" i="8"/>
  <c r="M104" i="8"/>
  <c r="M23" i="8"/>
  <c r="N23" i="8" s="1"/>
  <c r="K23" i="8"/>
  <c r="L23" i="8"/>
  <c r="N106" i="7"/>
  <c r="O106" i="7" s="1"/>
  <c r="L106" i="7"/>
  <c r="M106" i="7"/>
  <c r="M25" i="7"/>
  <c r="N25" i="7" s="1"/>
  <c r="K25" i="7"/>
  <c r="L25" i="7" s="1"/>
  <c r="N104" i="6"/>
  <c r="O104" i="6" s="1"/>
  <c r="L104" i="6"/>
  <c r="M104" i="6" s="1"/>
  <c r="M23" i="6"/>
  <c r="N23" i="6"/>
  <c r="K23" i="6"/>
  <c r="L23" i="6" s="1"/>
  <c r="N103" i="5"/>
  <c r="O103" i="5"/>
  <c r="L103" i="5"/>
  <c r="M103" i="5" s="1"/>
  <c r="M22" i="5"/>
  <c r="N22" i="5" s="1"/>
  <c r="K22" i="5"/>
  <c r="L22" i="5" s="1"/>
  <c r="N103" i="4"/>
  <c r="O103" i="4" s="1"/>
  <c r="L103" i="4"/>
  <c r="M103" i="4"/>
  <c r="M22" i="4"/>
  <c r="N22" i="4" s="1"/>
  <c r="K22" i="4"/>
  <c r="L22" i="4"/>
  <c r="N103" i="3"/>
  <c r="O103" i="3" s="1"/>
  <c r="L103" i="3"/>
  <c r="M103" i="3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 s="1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P130" i="29" s="1"/>
  <c r="O129" i="29"/>
  <c r="M129" i="29"/>
  <c r="O128" i="29"/>
  <c r="M128" i="29"/>
  <c r="O127" i="29"/>
  <c r="P127" i="29" s="1"/>
  <c r="M127" i="29"/>
  <c r="O126" i="29"/>
  <c r="M126" i="29"/>
  <c r="O125" i="29"/>
  <c r="M125" i="29"/>
  <c r="O124" i="29"/>
  <c r="M124" i="29"/>
  <c r="P124" i="29" s="1"/>
  <c r="O123" i="29"/>
  <c r="M123" i="29"/>
  <c r="O122" i="29"/>
  <c r="M122" i="29"/>
  <c r="P122" i="29" s="1"/>
  <c r="O121" i="29"/>
  <c r="M121" i="29"/>
  <c r="O120" i="29"/>
  <c r="M120" i="29"/>
  <c r="P120" i="29" s="1"/>
  <c r="O119" i="29"/>
  <c r="M119" i="29"/>
  <c r="O118" i="29"/>
  <c r="M118" i="29"/>
  <c r="O117" i="29"/>
  <c r="M117" i="29"/>
  <c r="O116" i="29"/>
  <c r="M116" i="29"/>
  <c r="P116" i="29" s="1"/>
  <c r="O115" i="29"/>
  <c r="M115" i="29"/>
  <c r="O114" i="29"/>
  <c r="M114" i="29"/>
  <c r="P114" i="29" s="1"/>
  <c r="O113" i="29"/>
  <c r="M113" i="29"/>
  <c r="O112" i="29"/>
  <c r="M112" i="29"/>
  <c r="P112" i="29" s="1"/>
  <c r="O111" i="29"/>
  <c r="M111" i="29"/>
  <c r="O110" i="29"/>
  <c r="M110" i="29"/>
  <c r="O109" i="29"/>
  <c r="M109" i="29"/>
  <c r="O108" i="29"/>
  <c r="M108" i="29"/>
  <c r="P108" i="29" s="1"/>
  <c r="O107" i="29"/>
  <c r="P107" i="29" s="1"/>
  <c r="M107" i="29"/>
  <c r="O106" i="29"/>
  <c r="M106" i="29"/>
  <c r="P106" i="29" s="1"/>
  <c r="O105" i="29"/>
  <c r="P105" i="29" s="1"/>
  <c r="M105" i="29"/>
  <c r="O104" i="29"/>
  <c r="M104" i="29"/>
  <c r="P104" i="29" s="1"/>
  <c r="O103" i="29"/>
  <c r="M103" i="29"/>
  <c r="O102" i="29"/>
  <c r="M102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O69" i="29" s="1"/>
  <c r="L69" i="29"/>
  <c r="N68" i="29"/>
  <c r="L68" i="29"/>
  <c r="O68" i="29" s="1"/>
  <c r="N67" i="29"/>
  <c r="L67" i="29"/>
  <c r="N66" i="29"/>
  <c r="L66" i="29"/>
  <c r="N65" i="29"/>
  <c r="L65" i="29"/>
  <c r="N64" i="29"/>
  <c r="L64" i="29"/>
  <c r="O64" i="29" s="1"/>
  <c r="N63" i="29"/>
  <c r="O63" i="29" s="1"/>
  <c r="L63" i="29"/>
  <c r="N62" i="29"/>
  <c r="L62" i="29"/>
  <c r="O62" i="29" s="1"/>
  <c r="N61" i="29"/>
  <c r="O61" i="29" s="1"/>
  <c r="L61" i="29"/>
  <c r="N60" i="29"/>
  <c r="L60" i="29"/>
  <c r="N59" i="29"/>
  <c r="L59" i="29"/>
  <c r="N58" i="29"/>
  <c r="O58" i="29"/>
  <c r="L58" i="29"/>
  <c r="N57" i="29"/>
  <c r="L57" i="29"/>
  <c r="N56" i="29"/>
  <c r="L56" i="29"/>
  <c r="N55" i="29"/>
  <c r="L55" i="29"/>
  <c r="N54" i="29"/>
  <c r="O54" i="29" s="1"/>
  <c r="L54" i="29"/>
  <c r="N53" i="29"/>
  <c r="L53" i="29"/>
  <c r="N52" i="29"/>
  <c r="O52" i="29" s="1"/>
  <c r="L52" i="29"/>
  <c r="N51" i="29"/>
  <c r="L51" i="29"/>
  <c r="N50" i="29"/>
  <c r="O50" i="29" s="1"/>
  <c r="L50" i="29"/>
  <c r="N49" i="29"/>
  <c r="L49" i="29"/>
  <c r="N48" i="29"/>
  <c r="O48" i="29" s="1"/>
  <c r="L48" i="29"/>
  <c r="N47" i="29"/>
  <c r="L47" i="29"/>
  <c r="N46" i="29"/>
  <c r="L46" i="29"/>
  <c r="N45" i="29"/>
  <c r="L45" i="29"/>
  <c r="N44" i="29"/>
  <c r="O44" i="29" s="1"/>
  <c r="L44" i="29"/>
  <c r="N43" i="29"/>
  <c r="L43" i="29"/>
  <c r="N42" i="29"/>
  <c r="O42" i="29" s="1"/>
  <c r="L42" i="29"/>
  <c r="N41" i="29"/>
  <c r="L41" i="29"/>
  <c r="N40" i="29"/>
  <c r="L40" i="29"/>
  <c r="N39" i="29"/>
  <c r="L39" i="29"/>
  <c r="N38" i="29"/>
  <c r="O38" i="29" s="1"/>
  <c r="L38" i="29"/>
  <c r="N37" i="29"/>
  <c r="L37" i="29"/>
  <c r="N36" i="29"/>
  <c r="O36" i="29" s="1"/>
  <c r="L36" i="29"/>
  <c r="N35" i="29"/>
  <c r="L35" i="29"/>
  <c r="N34" i="29"/>
  <c r="O34" i="29" s="1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O27" i="29"/>
  <c r="N26" i="29"/>
  <c r="L26" i="29"/>
  <c r="N25" i="29"/>
  <c r="L25" i="29"/>
  <c r="O25" i="29" s="1"/>
  <c r="N24" i="29"/>
  <c r="L24" i="29"/>
  <c r="N23" i="29"/>
  <c r="L23" i="29"/>
  <c r="N22" i="29"/>
  <c r="L22" i="29"/>
  <c r="O22" i="29" s="1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P128" i="28" s="1"/>
  <c r="M128" i="28"/>
  <c r="O127" i="28"/>
  <c r="P127" i="28" s="1"/>
  <c r="M127" i="28"/>
  <c r="O126" i="28"/>
  <c r="M126" i="28"/>
  <c r="O125" i="28"/>
  <c r="M125" i="28"/>
  <c r="O124" i="28"/>
  <c r="P124" i="28" s="1"/>
  <c r="M124" i="28"/>
  <c r="O123" i="28"/>
  <c r="P123" i="28" s="1"/>
  <c r="M123" i="28"/>
  <c r="O122" i="28"/>
  <c r="M122" i="28"/>
  <c r="O121" i="28"/>
  <c r="M121" i="28"/>
  <c r="O120" i="28"/>
  <c r="P120" i="28" s="1"/>
  <c r="M120" i="28"/>
  <c r="O119" i="28"/>
  <c r="M119" i="28"/>
  <c r="O118" i="28"/>
  <c r="M118" i="28"/>
  <c r="O117" i="28"/>
  <c r="M117" i="28"/>
  <c r="O116" i="28"/>
  <c r="P116" i="28" s="1"/>
  <c r="M116" i="28"/>
  <c r="O115" i="28"/>
  <c r="M115" i="28"/>
  <c r="O114" i="28"/>
  <c r="M114" i="28"/>
  <c r="O113" i="28"/>
  <c r="M113" i="28"/>
  <c r="O112" i="28"/>
  <c r="M112" i="28"/>
  <c r="O111" i="28"/>
  <c r="P111" i="28" s="1"/>
  <c r="M111" i="28"/>
  <c r="O110" i="28"/>
  <c r="M110" i="28"/>
  <c r="O109" i="28"/>
  <c r="M109" i="28"/>
  <c r="O108" i="28"/>
  <c r="P108" i="28" s="1"/>
  <c r="M108" i="28"/>
  <c r="O107" i="28"/>
  <c r="M107" i="28"/>
  <c r="O106" i="28"/>
  <c r="M106" i="28"/>
  <c r="O105" i="28"/>
  <c r="M105" i="28"/>
  <c r="O104" i="28"/>
  <c r="M104" i="28"/>
  <c r="O103" i="28"/>
  <c r="M103" i="28"/>
  <c r="O102" i="28"/>
  <c r="M102" i="28"/>
  <c r="D96" i="28"/>
  <c r="D94" i="28"/>
  <c r="L93" i="28"/>
  <c r="J93" i="28"/>
  <c r="C99" i="28"/>
  <c r="D92" i="28"/>
  <c r="D91" i="28"/>
  <c r="D89" i="28"/>
  <c r="N72" i="28"/>
  <c r="O72" i="28" s="1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O52" i="28" s="1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O40" i="28" s="1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L23" i="28"/>
  <c r="N22" i="28"/>
  <c r="L22" i="28"/>
  <c r="C17" i="28"/>
  <c r="C18" i="28"/>
  <c r="C19" i="28" s="1"/>
  <c r="C20" i="28" s="1"/>
  <c r="C21" i="28" s="1"/>
  <c r="C22" i="28" s="1"/>
  <c r="C23" i="28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K11" i="28"/>
  <c r="I11" i="28"/>
  <c r="D94" i="27"/>
  <c r="D92" i="27"/>
  <c r="M17" i="27"/>
  <c r="N17" i="27"/>
  <c r="K17" i="27"/>
  <c r="L17" i="27" s="1"/>
  <c r="N101" i="25"/>
  <c r="O101" i="25" s="1"/>
  <c r="L101" i="25"/>
  <c r="M101" i="25" s="1"/>
  <c r="N100" i="25"/>
  <c r="O100" i="25"/>
  <c r="P100" i="25" s="1"/>
  <c r="L100" i="25"/>
  <c r="M100" i="25" s="1"/>
  <c r="N99" i="25"/>
  <c r="O99" i="25"/>
  <c r="L99" i="25"/>
  <c r="M99" i="25"/>
  <c r="M20" i="25"/>
  <c r="N20" i="25" s="1"/>
  <c r="K20" i="25"/>
  <c r="L20" i="25" s="1"/>
  <c r="D92" i="24"/>
  <c r="N100" i="23"/>
  <c r="O100" i="23" s="1"/>
  <c r="L100" i="23"/>
  <c r="M100" i="23" s="1"/>
  <c r="M19" i="23"/>
  <c r="N19" i="23" s="1"/>
  <c r="O19" i="23" s="1"/>
  <c r="K19" i="23"/>
  <c r="L19" i="23" s="1"/>
  <c r="N101" i="22"/>
  <c r="O101" i="22"/>
  <c r="L101" i="22"/>
  <c r="M101" i="22" s="1"/>
  <c r="M20" i="22"/>
  <c r="N20" i="22" s="1"/>
  <c r="K20" i="22"/>
  <c r="L20" i="22" s="1"/>
  <c r="N104" i="11"/>
  <c r="O104" i="1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/>
  <c r="K24" i="10"/>
  <c r="L24" i="10"/>
  <c r="N104" i="9"/>
  <c r="O104" i="9" s="1"/>
  <c r="P104" i="9" s="1"/>
  <c r="L104" i="9"/>
  <c r="M104" i="9"/>
  <c r="M23" i="9"/>
  <c r="N23" i="9" s="1"/>
  <c r="K23" i="9"/>
  <c r="L23" i="9"/>
  <c r="N103" i="8"/>
  <c r="O103" i="8" s="1"/>
  <c r="L103" i="8"/>
  <c r="M103" i="8"/>
  <c r="M22" i="8"/>
  <c r="N22" i="8" s="1"/>
  <c r="K22" i="8"/>
  <c r="L22" i="8"/>
  <c r="N105" i="7"/>
  <c r="O105" i="7" s="1"/>
  <c r="L105" i="7"/>
  <c r="M105" i="7"/>
  <c r="M24" i="7"/>
  <c r="N24" i="7" s="1"/>
  <c r="K24" i="7"/>
  <c r="L24" i="7" s="1"/>
  <c r="N103" i="6"/>
  <c r="O103" i="6" s="1"/>
  <c r="L103" i="6"/>
  <c r="M103" i="6"/>
  <c r="M22" i="6"/>
  <c r="N22" i="6"/>
  <c r="K22" i="6"/>
  <c r="L22" i="6" s="1"/>
  <c r="M21" i="5"/>
  <c r="N21" i="5" s="1"/>
  <c r="K21" i="5"/>
  <c r="L21" i="5"/>
  <c r="N102" i="4"/>
  <c r="O102" i="4"/>
  <c r="L102" i="4"/>
  <c r="M102" i="4" s="1"/>
  <c r="M21" i="4"/>
  <c r="N21" i="4" s="1"/>
  <c r="K21" i="4"/>
  <c r="L21" i="4"/>
  <c r="N102" i="3"/>
  <c r="O102" i="3"/>
  <c r="L102" i="3"/>
  <c r="M102" i="3" s="1"/>
  <c r="M21" i="3"/>
  <c r="N21" i="3" s="1"/>
  <c r="O21" i="3" s="1"/>
  <c r="K21" i="3"/>
  <c r="L21" i="3" s="1"/>
  <c r="P86" i="6"/>
  <c r="O5" i="6"/>
  <c r="P87" i="6" s="1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 s="1"/>
  <c r="M18" i="25"/>
  <c r="N18" i="25"/>
  <c r="K19" i="25"/>
  <c r="K18" i="25"/>
  <c r="I19" i="25"/>
  <c r="C17" i="25"/>
  <c r="C18" i="25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P130" i="27" s="1"/>
  <c r="O129" i="27"/>
  <c r="M129" i="27"/>
  <c r="O128" i="27"/>
  <c r="M128" i="27"/>
  <c r="O127" i="27"/>
  <c r="P127" i="27" s="1"/>
  <c r="M127" i="27"/>
  <c r="O126" i="27"/>
  <c r="M126" i="27"/>
  <c r="P126" i="27" s="1"/>
  <c r="O125" i="27"/>
  <c r="M125" i="27"/>
  <c r="O124" i="27"/>
  <c r="M124" i="27"/>
  <c r="O123" i="27"/>
  <c r="M123" i="27"/>
  <c r="O122" i="27"/>
  <c r="M122" i="27"/>
  <c r="P122" i="27" s="1"/>
  <c r="O121" i="27"/>
  <c r="M121" i="27"/>
  <c r="P121" i="27" s="1"/>
  <c r="O120" i="27"/>
  <c r="M120" i="27"/>
  <c r="O119" i="27"/>
  <c r="M119" i="27"/>
  <c r="P119" i="27" s="1"/>
  <c r="O118" i="27"/>
  <c r="P118" i="27" s="1"/>
  <c r="M118" i="27"/>
  <c r="O117" i="27"/>
  <c r="M117" i="27"/>
  <c r="O116" i="27"/>
  <c r="P116" i="27" s="1"/>
  <c r="M116" i="27"/>
  <c r="O115" i="27"/>
  <c r="P115" i="27" s="1"/>
  <c r="M115" i="27"/>
  <c r="O114" i="27"/>
  <c r="P114" i="27" s="1"/>
  <c r="M114" i="27"/>
  <c r="O113" i="27"/>
  <c r="P113" i="27" s="1"/>
  <c r="M113" i="27"/>
  <c r="O112" i="27"/>
  <c r="P112" i="27" s="1"/>
  <c r="M112" i="27"/>
  <c r="O111" i="27"/>
  <c r="P111" i="27" s="1"/>
  <c r="M111" i="27"/>
  <c r="O110" i="27"/>
  <c r="P110" i="27" s="1"/>
  <c r="M110" i="27"/>
  <c r="O109" i="27"/>
  <c r="M109" i="27"/>
  <c r="P109" i="27"/>
  <c r="O108" i="27"/>
  <c r="M108" i="27"/>
  <c r="O107" i="27"/>
  <c r="M107" i="27"/>
  <c r="P107" i="27" s="1"/>
  <c r="O106" i="27"/>
  <c r="M106" i="27"/>
  <c r="O105" i="27"/>
  <c r="M105" i="27"/>
  <c r="O104" i="27"/>
  <c r="M104" i="27"/>
  <c r="O103" i="27"/>
  <c r="P103" i="27"/>
  <c r="M103" i="27"/>
  <c r="D96" i="27"/>
  <c r="L93" i="27"/>
  <c r="J93" i="27"/>
  <c r="D91" i="27"/>
  <c r="D89" i="27"/>
  <c r="N72" i="27"/>
  <c r="L72" i="27"/>
  <c r="N71" i="27"/>
  <c r="O71" i="27" s="1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O41" i="27" s="1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L25" i="27"/>
  <c r="N24" i="27"/>
  <c r="L24" i="27"/>
  <c r="N23" i="27"/>
  <c r="L23" i="27"/>
  <c r="C17" i="27"/>
  <c r="C18" i="27"/>
  <c r="C19" i="27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K11" i="27"/>
  <c r="I11" i="27"/>
  <c r="M17" i="25"/>
  <c r="N17" i="25" s="1"/>
  <c r="K17" i="25"/>
  <c r="L17" i="25"/>
  <c r="M17" i="24"/>
  <c r="N17" i="24" s="1"/>
  <c r="O17" i="24" s="1"/>
  <c r="K17" i="24"/>
  <c r="N99" i="23"/>
  <c r="O99" i="23" s="1"/>
  <c r="L99" i="23"/>
  <c r="M18" i="23"/>
  <c r="K18" i="23"/>
  <c r="N100" i="22"/>
  <c r="L100" i="22"/>
  <c r="M100" i="22" s="1"/>
  <c r="M19" i="22"/>
  <c r="K19" i="22"/>
  <c r="N103" i="11"/>
  <c r="L103" i="11"/>
  <c r="M22" i="11"/>
  <c r="K22" i="11"/>
  <c r="N104" i="10"/>
  <c r="L104" i="10"/>
  <c r="M23" i="10"/>
  <c r="K23" i="10"/>
  <c r="N103" i="9"/>
  <c r="L103" i="9"/>
  <c r="M22" i="9"/>
  <c r="K22" i="9"/>
  <c r="N102" i="8"/>
  <c r="L102" i="8"/>
  <c r="M102" i="8"/>
  <c r="M21" i="8"/>
  <c r="K21" i="8"/>
  <c r="N104" i="7"/>
  <c r="L104" i="7"/>
  <c r="M23" i="7"/>
  <c r="K23" i="7"/>
  <c r="N102" i="6"/>
  <c r="L102" i="6"/>
  <c r="M21" i="6"/>
  <c r="K21" i="6"/>
  <c r="N101" i="5"/>
  <c r="L101" i="5"/>
  <c r="M20" i="5"/>
  <c r="K20" i="5"/>
  <c r="N101" i="4"/>
  <c r="L101" i="4"/>
  <c r="M20" i="4"/>
  <c r="K20" i="4"/>
  <c r="N101" i="3"/>
  <c r="L101" i="3"/>
  <c r="M20" i="3"/>
  <c r="K20" i="3"/>
  <c r="F81" i="2"/>
  <c r="F87" i="2"/>
  <c r="F86" i="2"/>
  <c r="F90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K19" i="3"/>
  <c r="P18" i="17"/>
  <c r="P47" i="17" s="1"/>
  <c r="C17" i="4"/>
  <c r="C18" i="4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K19" i="5"/>
  <c r="P20" i="17"/>
  <c r="C17" i="6"/>
  <c r="C18" i="6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K20" i="6"/>
  <c r="P21" i="17"/>
  <c r="C17" i="7"/>
  <c r="C18" i="7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/>
  <c r="C37" i="7" s="1"/>
  <c r="C38" i="7" s="1"/>
  <c r="C39" i="7" s="1"/>
  <c r="C40" i="7" s="1"/>
  <c r="C41" i="7" s="1"/>
  <c r="C42" i="7" s="1"/>
  <c r="C43" i="7" s="1"/>
  <c r="C44" i="7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K22" i="7"/>
  <c r="P22" i="17"/>
  <c r="C17" i="8"/>
  <c r="C18" i="8"/>
  <c r="C19" i="8" s="1"/>
  <c r="C20" i="8" s="1"/>
  <c r="C21" i="8" s="1"/>
  <c r="C22" i="8" s="1"/>
  <c r="C23" i="8" s="1"/>
  <c r="C24" i="8" s="1"/>
  <c r="C25" i="8" s="1"/>
  <c r="C26" i="8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K21" i="9"/>
  <c r="P24" i="17"/>
  <c r="C17" i="10"/>
  <c r="C18" i="10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/>
  <c r="C19" i="11" s="1"/>
  <c r="C20" i="1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P26" i="17"/>
  <c r="C17" i="22"/>
  <c r="C18" i="22"/>
  <c r="C19" i="22" s="1"/>
  <c r="C20" i="22"/>
  <c r="C21" i="22" s="1"/>
  <c r="C22" i="22"/>
  <c r="C23" i="22" s="1"/>
  <c r="C24" i="22" s="1"/>
  <c r="C25" i="22" s="1"/>
  <c r="C26" i="22" s="1"/>
  <c r="C27" i="22" s="1"/>
  <c r="C28" i="22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K18" i="22"/>
  <c r="P27" i="17"/>
  <c r="C17" i="23"/>
  <c r="C18" i="23"/>
  <c r="C19" i="23" s="1"/>
  <c r="C20" i="23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M22" i="10"/>
  <c r="M21" i="11"/>
  <c r="M18" i="22"/>
  <c r="M17" i="23"/>
  <c r="F81" i="1"/>
  <c r="F87" i="1"/>
  <c r="F90" i="1"/>
  <c r="P1" i="25"/>
  <c r="P83" i="25" s="1"/>
  <c r="I11" i="25"/>
  <c r="K11" i="25"/>
  <c r="L18" i="25"/>
  <c r="L19" i="25"/>
  <c r="L26" i="25"/>
  <c r="N26" i="25"/>
  <c r="L27" i="25"/>
  <c r="N27" i="25"/>
  <c r="L28" i="25"/>
  <c r="N28" i="25"/>
  <c r="L29" i="25"/>
  <c r="N29" i="25"/>
  <c r="L30" i="25"/>
  <c r="N30" i="25"/>
  <c r="L31" i="25"/>
  <c r="N31" i="25"/>
  <c r="L32" i="25"/>
  <c r="N32" i="25"/>
  <c r="L33" i="25"/>
  <c r="N33" i="25"/>
  <c r="O33" i="25" s="1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O41" i="25" s="1"/>
  <c r="L42" i="25"/>
  <c r="N42" i="25"/>
  <c r="L43" i="25"/>
  <c r="N43" i="25"/>
  <c r="L44" i="25"/>
  <c r="N44" i="25"/>
  <c r="L45" i="25"/>
  <c r="N45" i="25"/>
  <c r="L46" i="25"/>
  <c r="N46" i="25"/>
  <c r="O46" i="25" s="1"/>
  <c r="L47" i="25"/>
  <c r="N47" i="25"/>
  <c r="O47" i="25" s="1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O66" i="25" s="1"/>
  <c r="L67" i="25"/>
  <c r="N67" i="25"/>
  <c r="L68" i="25"/>
  <c r="N68" i="25"/>
  <c r="O68" i="25" s="1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06" i="25"/>
  <c r="O106" i="25"/>
  <c r="P106" i="25" s="1"/>
  <c r="M107" i="25"/>
  <c r="O107" i="25"/>
  <c r="M108" i="25"/>
  <c r="O108" i="25"/>
  <c r="P108" i="25" s="1"/>
  <c r="M109" i="25"/>
  <c r="O109" i="25"/>
  <c r="P109" i="25" s="1"/>
  <c r="M110" i="25"/>
  <c r="P110" i="25"/>
  <c r="O110" i="25"/>
  <c r="M111" i="25"/>
  <c r="O111" i="25"/>
  <c r="M112" i="25"/>
  <c r="O112" i="25"/>
  <c r="M113" i="25"/>
  <c r="O113" i="25"/>
  <c r="M114" i="25"/>
  <c r="O114" i="25"/>
  <c r="M115" i="25"/>
  <c r="P115" i="25" s="1"/>
  <c r="O115" i="25"/>
  <c r="M116" i="25"/>
  <c r="O116" i="25"/>
  <c r="P116" i="25" s="1"/>
  <c r="M117" i="25"/>
  <c r="P117" i="25" s="1"/>
  <c r="O117" i="25"/>
  <c r="M118" i="25"/>
  <c r="O118" i="25"/>
  <c r="M119" i="25"/>
  <c r="O119" i="25"/>
  <c r="M120" i="25"/>
  <c r="O120" i="25"/>
  <c r="P120" i="25" s="1"/>
  <c r="M121" i="25"/>
  <c r="P121" i="25" s="1"/>
  <c r="O121" i="25"/>
  <c r="M122" i="25"/>
  <c r="O122" i="25"/>
  <c r="P122" i="25" s="1"/>
  <c r="M123" i="25"/>
  <c r="P123" i="25" s="1"/>
  <c r="O123" i="25"/>
  <c r="M124" i="25"/>
  <c r="O124" i="25"/>
  <c r="P124" i="25" s="1"/>
  <c r="M125" i="25"/>
  <c r="P125" i="25" s="1"/>
  <c r="O125" i="25"/>
  <c r="M126" i="25"/>
  <c r="O126" i="25"/>
  <c r="M127" i="25"/>
  <c r="P127" i="25" s="1"/>
  <c r="O127" i="25"/>
  <c r="M128" i="25"/>
  <c r="O128" i="25"/>
  <c r="M129" i="25"/>
  <c r="O129" i="25"/>
  <c r="M130" i="25"/>
  <c r="O130" i="25"/>
  <c r="P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N103" i="10"/>
  <c r="L103" i="10"/>
  <c r="N102" i="9"/>
  <c r="L102" i="9"/>
  <c r="M102" i="9" s="1"/>
  <c r="N101" i="8"/>
  <c r="L101" i="8"/>
  <c r="N103" i="7"/>
  <c r="L103" i="7"/>
  <c r="N101" i="6"/>
  <c r="L101" i="6"/>
  <c r="N100" i="5"/>
  <c r="L100" i="5"/>
  <c r="M100" i="5"/>
  <c r="N100" i="4"/>
  <c r="L100" i="4"/>
  <c r="P1" i="24"/>
  <c r="P83" i="24" s="1"/>
  <c r="I11" i="24"/>
  <c r="K11" i="24"/>
  <c r="L17" i="24"/>
  <c r="L24" i="24"/>
  <c r="N24" i="24"/>
  <c r="L25" i="24"/>
  <c r="N25" i="24"/>
  <c r="L26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O32" i="24" s="1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O41" i="24" s="1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O51" i="24" s="1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O72" i="24" s="1"/>
  <c r="D89" i="24"/>
  <c r="D90" i="24"/>
  <c r="D91" i="24"/>
  <c r="J93" i="24"/>
  <c r="L93" i="24"/>
  <c r="D96" i="24"/>
  <c r="M104" i="24"/>
  <c r="O104" i="24"/>
  <c r="P104" i="24" s="1"/>
  <c r="M105" i="24"/>
  <c r="O105" i="24"/>
  <c r="M106" i="24"/>
  <c r="O106" i="24"/>
  <c r="P106" i="24" s="1"/>
  <c r="M107" i="24"/>
  <c r="O107" i="24"/>
  <c r="M108" i="24"/>
  <c r="O108" i="24"/>
  <c r="P108" i="24" s="1"/>
  <c r="M109" i="24"/>
  <c r="P109" i="24" s="1"/>
  <c r="O109" i="24"/>
  <c r="M110" i="24"/>
  <c r="O110" i="24"/>
  <c r="P110" i="24"/>
  <c r="M111" i="24"/>
  <c r="O111" i="24"/>
  <c r="M112" i="24"/>
  <c r="O112" i="24"/>
  <c r="P112" i="24" s="1"/>
  <c r="M113" i="24"/>
  <c r="O113" i="24"/>
  <c r="P113" i="24" s="1"/>
  <c r="M114" i="24"/>
  <c r="O114" i="24"/>
  <c r="P114" i="24" s="1"/>
  <c r="M115" i="24"/>
  <c r="O115" i="24"/>
  <c r="M116" i="24"/>
  <c r="O116" i="24"/>
  <c r="P116" i="24" s="1"/>
  <c r="M117" i="24"/>
  <c r="O117" i="24"/>
  <c r="M118" i="24"/>
  <c r="O118" i="24"/>
  <c r="P118" i="24" s="1"/>
  <c r="M119" i="24"/>
  <c r="O119" i="24"/>
  <c r="M120" i="24"/>
  <c r="O120" i="24"/>
  <c r="P120" i="24" s="1"/>
  <c r="M121" i="24"/>
  <c r="O121" i="24"/>
  <c r="M122" i="24"/>
  <c r="O122" i="24"/>
  <c r="P122" i="24" s="1"/>
  <c r="M123" i="24"/>
  <c r="O123" i="24"/>
  <c r="M124" i="24"/>
  <c r="O124" i="24"/>
  <c r="P124" i="24" s="1"/>
  <c r="M125" i="24"/>
  <c r="O125" i="24"/>
  <c r="M126" i="24"/>
  <c r="O126" i="24"/>
  <c r="P126" i="24" s="1"/>
  <c r="M127" i="24"/>
  <c r="O127" i="24"/>
  <c r="M128" i="24"/>
  <c r="O128" i="24"/>
  <c r="P128" i="24" s="1"/>
  <c r="M129" i="24"/>
  <c r="O129" i="24"/>
  <c r="P129" i="24" s="1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D10" i="3"/>
  <c r="K21" i="10"/>
  <c r="K18" i="3"/>
  <c r="K18" i="4"/>
  <c r="K18" i="5"/>
  <c r="K19" i="6"/>
  <c r="K21" i="7"/>
  <c r="K19" i="8"/>
  <c r="K20" i="9"/>
  <c r="L20" i="9"/>
  <c r="K20" i="11"/>
  <c r="K17" i="22"/>
  <c r="W28" i="17"/>
  <c r="B19" i="23"/>
  <c r="I17" i="23"/>
  <c r="P1" i="23"/>
  <c r="P83" i="23" s="1"/>
  <c r="I11" i="23"/>
  <c r="K11" i="23"/>
  <c r="L17" i="23"/>
  <c r="N17" i="23"/>
  <c r="O17" i="23" s="1"/>
  <c r="B18" i="23"/>
  <c r="L18" i="23"/>
  <c r="N18" i="23"/>
  <c r="L25" i="23"/>
  <c r="N25" i="23"/>
  <c r="L26" i="23"/>
  <c r="N26" i="23"/>
  <c r="L27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O35" i="23" s="1"/>
  <c r="N35" i="23"/>
  <c r="L36" i="23"/>
  <c r="N36" i="23"/>
  <c r="L37" i="23"/>
  <c r="N37" i="23"/>
  <c r="L38" i="23"/>
  <c r="O38" i="23" s="1"/>
  <c r="N38" i="23"/>
  <c r="L39" i="23"/>
  <c r="N39" i="23"/>
  <c r="L40" i="23"/>
  <c r="N40" i="23"/>
  <c r="O40" i="23" s="1"/>
  <c r="L41" i="23"/>
  <c r="N41" i="23"/>
  <c r="O41" i="23" s="1"/>
  <c r="L42" i="23"/>
  <c r="N42" i="23"/>
  <c r="L43" i="23"/>
  <c r="N43" i="23"/>
  <c r="L44" i="23"/>
  <c r="N44" i="23"/>
  <c r="L45" i="23"/>
  <c r="N45" i="23"/>
  <c r="L46" i="23"/>
  <c r="N46" i="23"/>
  <c r="L47" i="23"/>
  <c r="O47" i="23" s="1"/>
  <c r="N47" i="23"/>
  <c r="L48" i="23"/>
  <c r="N48" i="23"/>
  <c r="L49" i="23"/>
  <c r="O49" i="23" s="1"/>
  <c r="N49" i="23"/>
  <c r="L50" i="23"/>
  <c r="N50" i="23"/>
  <c r="L51" i="23"/>
  <c r="N51" i="23"/>
  <c r="L52" i="23"/>
  <c r="N52" i="23"/>
  <c r="L53" i="23"/>
  <c r="O53" i="23" s="1"/>
  <c r="N53" i="23"/>
  <c r="L54" i="23"/>
  <c r="N54" i="23"/>
  <c r="L55" i="23"/>
  <c r="N55" i="23"/>
  <c r="L56" i="23"/>
  <c r="N56" i="23"/>
  <c r="L57" i="23"/>
  <c r="N57" i="23"/>
  <c r="L58" i="23"/>
  <c r="N58" i="23"/>
  <c r="L59" i="23"/>
  <c r="O59" i="23" s="1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O67" i="23" s="1"/>
  <c r="N67" i="23"/>
  <c r="L68" i="23"/>
  <c r="N68" i="23"/>
  <c r="L69" i="23"/>
  <c r="O69" i="23" s="1"/>
  <c r="N69" i="23"/>
  <c r="L70" i="23"/>
  <c r="N70" i="23"/>
  <c r="L71" i="23"/>
  <c r="N71" i="23"/>
  <c r="L72" i="23"/>
  <c r="O72" i="23" s="1"/>
  <c r="N72" i="23"/>
  <c r="D89" i="23"/>
  <c r="D91" i="23"/>
  <c r="J93" i="23"/>
  <c r="L93" i="23"/>
  <c r="D96" i="23"/>
  <c r="M99" i="23"/>
  <c r="M105" i="23"/>
  <c r="O105" i="23"/>
  <c r="P105" i="23" s="1"/>
  <c r="M106" i="23"/>
  <c r="O106" i="23"/>
  <c r="M107" i="23"/>
  <c r="O107" i="23"/>
  <c r="P107" i="23" s="1"/>
  <c r="M108" i="23"/>
  <c r="O108" i="23"/>
  <c r="P108" i="23" s="1"/>
  <c r="M109" i="23"/>
  <c r="O109" i="23"/>
  <c r="M110" i="23"/>
  <c r="O110" i="23"/>
  <c r="P110" i="23" s="1"/>
  <c r="M111" i="23"/>
  <c r="O111" i="23"/>
  <c r="P111" i="23" s="1"/>
  <c r="M112" i="23"/>
  <c r="O112" i="23"/>
  <c r="P112" i="23" s="1"/>
  <c r="M113" i="23"/>
  <c r="O113" i="23"/>
  <c r="M114" i="23"/>
  <c r="O114" i="23"/>
  <c r="P114" i="23" s="1"/>
  <c r="M115" i="23"/>
  <c r="O115" i="23"/>
  <c r="P115" i="23" s="1"/>
  <c r="M116" i="23"/>
  <c r="O116" i="23"/>
  <c r="P116" i="23" s="1"/>
  <c r="M117" i="23"/>
  <c r="O117" i="23"/>
  <c r="M118" i="23"/>
  <c r="O118" i="23"/>
  <c r="M119" i="23"/>
  <c r="O119" i="23"/>
  <c r="P119" i="23" s="1"/>
  <c r="M120" i="23"/>
  <c r="O120" i="23"/>
  <c r="M121" i="23"/>
  <c r="O121" i="23"/>
  <c r="P121" i="23" s="1"/>
  <c r="M122" i="23"/>
  <c r="O122" i="23"/>
  <c r="M123" i="23"/>
  <c r="O123" i="23"/>
  <c r="M124" i="23"/>
  <c r="O124" i="23"/>
  <c r="P124" i="23" s="1"/>
  <c r="M125" i="23"/>
  <c r="O125" i="23"/>
  <c r="P125" i="23" s="1"/>
  <c r="M126" i="23"/>
  <c r="O126" i="23"/>
  <c r="P126" i="23" s="1"/>
  <c r="M127" i="23"/>
  <c r="O127" i="23"/>
  <c r="P127" i="23" s="1"/>
  <c r="M128" i="23"/>
  <c r="O128" i="23"/>
  <c r="P128" i="23" s="1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102" i="10"/>
  <c r="L102" i="10"/>
  <c r="M20" i="9"/>
  <c r="N20" i="9"/>
  <c r="O20" i="9" s="1"/>
  <c r="N101" i="9"/>
  <c r="L101" i="9"/>
  <c r="N100" i="8"/>
  <c r="L100" i="8"/>
  <c r="M19" i="8"/>
  <c r="N102" i="7"/>
  <c r="L102" i="7"/>
  <c r="M102" i="7" s="1"/>
  <c r="M21" i="7"/>
  <c r="N21" i="7" s="1"/>
  <c r="O21" i="7" s="1"/>
  <c r="N100" i="6"/>
  <c r="L100" i="6"/>
  <c r="M19" i="6"/>
  <c r="N99" i="5"/>
  <c r="L99" i="5"/>
  <c r="M18" i="5"/>
  <c r="N99" i="4"/>
  <c r="L99" i="4"/>
  <c r="M18" i="4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L17" i="22"/>
  <c r="I18" i="22"/>
  <c r="L18" i="22"/>
  <c r="N18" i="22"/>
  <c r="O18" i="22" s="1"/>
  <c r="L19" i="22"/>
  <c r="N19" i="22"/>
  <c r="L26" i="22"/>
  <c r="N26" i="22"/>
  <c r="L27" i="22"/>
  <c r="N27" i="22"/>
  <c r="L28" i="22"/>
  <c r="N28" i="22"/>
  <c r="L29" i="22"/>
  <c r="N29" i="22"/>
  <c r="L30" i="22"/>
  <c r="N30" i="22"/>
  <c r="L31" i="22"/>
  <c r="N31" i="22"/>
  <c r="L32" i="22"/>
  <c r="O32" i="22" s="1"/>
  <c r="N32" i="22"/>
  <c r="L33" i="22"/>
  <c r="O33" i="22" s="1"/>
  <c r="N33" i="22"/>
  <c r="L34" i="22"/>
  <c r="N34" i="22"/>
  <c r="L35" i="22"/>
  <c r="N35" i="22"/>
  <c r="L36" i="22"/>
  <c r="O36" i="22" s="1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O45" i="22" s="1"/>
  <c r="N45" i="22"/>
  <c r="L46" i="22"/>
  <c r="O46" i="22" s="1"/>
  <c r="N46" i="22"/>
  <c r="L47" i="22"/>
  <c r="N47" i="22"/>
  <c r="L48" i="22"/>
  <c r="N48" i="22"/>
  <c r="L49" i="22"/>
  <c r="N49" i="22"/>
  <c r="L50" i="22"/>
  <c r="O50" i="22" s="1"/>
  <c r="N50" i="22"/>
  <c r="L51" i="22"/>
  <c r="N51" i="22"/>
  <c r="L52" i="22"/>
  <c r="O52" i="22" s="1"/>
  <c r="N52" i="22"/>
  <c r="L53" i="22"/>
  <c r="N53" i="22"/>
  <c r="L54" i="22"/>
  <c r="O54" i="22" s="1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O66" i="22" s="1"/>
  <c r="N66" i="22"/>
  <c r="L67" i="22"/>
  <c r="N67" i="22"/>
  <c r="L68" i="22"/>
  <c r="N68" i="22"/>
  <c r="L69" i="22"/>
  <c r="N69" i="22"/>
  <c r="L70" i="22"/>
  <c r="N70" i="22"/>
  <c r="L71" i="22"/>
  <c r="N71" i="22"/>
  <c r="L72" i="22"/>
  <c r="O72" i="22" s="1"/>
  <c r="N72" i="22"/>
  <c r="D89" i="22"/>
  <c r="D91" i="22"/>
  <c r="J93" i="22"/>
  <c r="L93" i="22"/>
  <c r="D96" i="22"/>
  <c r="J99" i="22"/>
  <c r="M99" i="22"/>
  <c r="O99" i="22"/>
  <c r="O100" i="22"/>
  <c r="M106" i="22"/>
  <c r="O106" i="22"/>
  <c r="M107" i="22"/>
  <c r="O107" i="22"/>
  <c r="M108" i="22"/>
  <c r="O108" i="22"/>
  <c r="P108" i="22" s="1"/>
  <c r="M109" i="22"/>
  <c r="O109" i="22"/>
  <c r="M110" i="22"/>
  <c r="O110" i="22"/>
  <c r="M111" i="22"/>
  <c r="O111" i="22"/>
  <c r="M112" i="22"/>
  <c r="O112" i="22"/>
  <c r="M113" i="22"/>
  <c r="O113" i="22"/>
  <c r="P113" i="22" s="1"/>
  <c r="M114" i="22"/>
  <c r="O114" i="22"/>
  <c r="P114" i="22" s="1"/>
  <c r="M115" i="22"/>
  <c r="O115" i="22"/>
  <c r="M116" i="22"/>
  <c r="O116" i="22"/>
  <c r="M117" i="22"/>
  <c r="O117" i="22"/>
  <c r="M118" i="22"/>
  <c r="O118" i="22"/>
  <c r="P118" i="22" s="1"/>
  <c r="M119" i="22"/>
  <c r="O119" i="22"/>
  <c r="M120" i="22"/>
  <c r="O120" i="22"/>
  <c r="P120" i="22" s="1"/>
  <c r="M121" i="22"/>
  <c r="O121" i="22"/>
  <c r="M122" i="22"/>
  <c r="O122" i="22"/>
  <c r="M123" i="22"/>
  <c r="O123" i="22"/>
  <c r="M124" i="22"/>
  <c r="O124" i="22"/>
  <c r="M125" i="22"/>
  <c r="P125" i="22" s="1"/>
  <c r="O125" i="22"/>
  <c r="M126" i="22"/>
  <c r="O126" i="22"/>
  <c r="M127" i="22"/>
  <c r="O127" i="22"/>
  <c r="P127" i="22" s="1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C12" i="1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O18" i="13" s="1"/>
  <c r="N18" i="13"/>
  <c r="L19" i="13"/>
  <c r="N19" i="13"/>
  <c r="L20" i="13"/>
  <c r="O20" i="13" s="1"/>
  <c r="N20" i="13"/>
  <c r="L21" i="13"/>
  <c r="N21" i="13"/>
  <c r="L22" i="13"/>
  <c r="O22" i="13" s="1"/>
  <c r="N22" i="13"/>
  <c r="L23" i="13"/>
  <c r="N23" i="13"/>
  <c r="L24" i="13"/>
  <c r="N24" i="13"/>
  <c r="L25" i="13"/>
  <c r="N25" i="13"/>
  <c r="L26" i="13"/>
  <c r="O26" i="13" s="1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O36" i="13" s="1"/>
  <c r="N36" i="13"/>
  <c r="L37" i="13"/>
  <c r="N37" i="13"/>
  <c r="L38" i="13"/>
  <c r="N38" i="13"/>
  <c r="L39" i="13"/>
  <c r="N39" i="13"/>
  <c r="L40" i="13"/>
  <c r="O40" i="13" s="1"/>
  <c r="N40" i="13"/>
  <c r="L41" i="13"/>
  <c r="N41" i="13"/>
  <c r="O41" i="13" s="1"/>
  <c r="L42" i="13"/>
  <c r="N42" i="13"/>
  <c r="O42" i="13"/>
  <c r="L43" i="13"/>
  <c r="N43" i="13"/>
  <c r="L44" i="13"/>
  <c r="N44" i="13"/>
  <c r="O44" i="13" s="1"/>
  <c r="L45" i="13"/>
  <c r="N45" i="13"/>
  <c r="L46" i="13"/>
  <c r="N46" i="13"/>
  <c r="O46" i="13" s="1"/>
  <c r="L47" i="13"/>
  <c r="N47" i="13"/>
  <c r="L48" i="13"/>
  <c r="N48" i="13"/>
  <c r="O48" i="13" s="1"/>
  <c r="L49" i="13"/>
  <c r="N49" i="13"/>
  <c r="L50" i="13"/>
  <c r="N50" i="13"/>
  <c r="O50" i="13" s="1"/>
  <c r="L51" i="13"/>
  <c r="O51" i="13" s="1"/>
  <c r="N51" i="13"/>
  <c r="L52" i="13"/>
  <c r="N52" i="13"/>
  <c r="L53" i="13"/>
  <c r="N53" i="13"/>
  <c r="O53" i="13" s="1"/>
  <c r="L54" i="13"/>
  <c r="N54" i="13"/>
  <c r="L55" i="13"/>
  <c r="N55" i="13"/>
  <c r="L56" i="13"/>
  <c r="N56" i="13"/>
  <c r="L57" i="13"/>
  <c r="N57" i="13"/>
  <c r="O57" i="13" s="1"/>
  <c r="L58" i="13"/>
  <c r="N58" i="13"/>
  <c r="L59" i="13"/>
  <c r="N59" i="13"/>
  <c r="L60" i="13"/>
  <c r="N60" i="13"/>
  <c r="L61" i="13"/>
  <c r="N61" i="13"/>
  <c r="L62" i="13"/>
  <c r="N62" i="13"/>
  <c r="O62" i="13" s="1"/>
  <c r="L63" i="13"/>
  <c r="N63" i="13"/>
  <c r="L64" i="13"/>
  <c r="N64" i="13"/>
  <c r="O64" i="13" s="1"/>
  <c r="L65" i="13"/>
  <c r="N65" i="13"/>
  <c r="O65" i="13" s="1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P126" i="13" s="1"/>
  <c r="O126" i="13"/>
  <c r="M127" i="13"/>
  <c r="O127" i="13"/>
  <c r="M128" i="13"/>
  <c r="P128" i="13" s="1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/>
  <c r="I18" i="11"/>
  <c r="L18" i="11"/>
  <c r="N18" i="11"/>
  <c r="O18" i="11"/>
  <c r="I19" i="11"/>
  <c r="L19" i="11"/>
  <c r="N19" i="11"/>
  <c r="O19" i="11"/>
  <c r="I20" i="11"/>
  <c r="L20" i="11"/>
  <c r="N20" i="11"/>
  <c r="O20" i="11"/>
  <c r="I21" i="11"/>
  <c r="L21" i="11"/>
  <c r="N21" i="11"/>
  <c r="O21" i="11"/>
  <c r="L22" i="11"/>
  <c r="N22" i="11"/>
  <c r="O22" i="11" s="1"/>
  <c r="L29" i="11"/>
  <c r="N29" i="11"/>
  <c r="L30" i="11"/>
  <c r="N30" i="11"/>
  <c r="L31" i="11"/>
  <c r="N31" i="11"/>
  <c r="L32" i="11"/>
  <c r="O32" i="11" s="1"/>
  <c r="N32" i="11"/>
  <c r="L33" i="11"/>
  <c r="N33" i="11"/>
  <c r="L34" i="11"/>
  <c r="N34" i="11"/>
  <c r="L35" i="11"/>
  <c r="N35" i="11"/>
  <c r="L36" i="11"/>
  <c r="N36" i="11"/>
  <c r="O36" i="11" s="1"/>
  <c r="L37" i="11"/>
  <c r="N37" i="11"/>
  <c r="O37" i="11" s="1"/>
  <c r="L38" i="11"/>
  <c r="O38" i="11" s="1"/>
  <c r="N38" i="11"/>
  <c r="L39" i="11"/>
  <c r="N39" i="11"/>
  <c r="L40" i="11"/>
  <c r="O40" i="11" s="1"/>
  <c r="N40" i="11"/>
  <c r="L41" i="11"/>
  <c r="N41" i="11"/>
  <c r="L42" i="11"/>
  <c r="N42" i="11"/>
  <c r="L43" i="11"/>
  <c r="O43" i="11" s="1"/>
  <c r="N43" i="11"/>
  <c r="L44" i="11"/>
  <c r="N44" i="11"/>
  <c r="L45" i="11"/>
  <c r="N45" i="11"/>
  <c r="O45" i="11" s="1"/>
  <c r="L46" i="11"/>
  <c r="N46" i="11"/>
  <c r="O46" i="11" s="1"/>
  <c r="L47" i="11"/>
  <c r="N47" i="11"/>
  <c r="L48" i="11"/>
  <c r="N48" i="11"/>
  <c r="L49" i="11"/>
  <c r="O49" i="11" s="1"/>
  <c r="N49" i="11"/>
  <c r="L50" i="11"/>
  <c r="N50" i="11"/>
  <c r="L51" i="11"/>
  <c r="N51" i="11"/>
  <c r="L52" i="11"/>
  <c r="N52" i="11"/>
  <c r="L53" i="11"/>
  <c r="N53" i="11"/>
  <c r="L54" i="11"/>
  <c r="N54" i="11"/>
  <c r="O54" i="11" s="1"/>
  <c r="L55" i="11"/>
  <c r="N55" i="11"/>
  <c r="O55" i="11" s="1"/>
  <c r="L56" i="11"/>
  <c r="N56" i="11"/>
  <c r="O56" i="11" s="1"/>
  <c r="L57" i="11"/>
  <c r="N57" i="11"/>
  <c r="L58" i="11"/>
  <c r="N58" i="11"/>
  <c r="L59" i="11"/>
  <c r="N59" i="11"/>
  <c r="L60" i="11"/>
  <c r="N60" i="11"/>
  <c r="L61" i="11"/>
  <c r="N61" i="11"/>
  <c r="O61" i="11" s="1"/>
  <c r="L62" i="11"/>
  <c r="N62" i="11"/>
  <c r="L63" i="11"/>
  <c r="N63" i="11"/>
  <c r="L64" i="11"/>
  <c r="N64" i="11"/>
  <c r="L65" i="11"/>
  <c r="N65" i="11"/>
  <c r="O65" i="11" s="1"/>
  <c r="L66" i="11"/>
  <c r="N66" i="11"/>
  <c r="O66" i="11" s="1"/>
  <c r="L67" i="11"/>
  <c r="N67" i="11"/>
  <c r="L68" i="11"/>
  <c r="N68" i="11"/>
  <c r="L69" i="11"/>
  <c r="N69" i="11"/>
  <c r="O69" i="11" s="1"/>
  <c r="L70" i="11"/>
  <c r="N70" i="11"/>
  <c r="O70" i="11" s="1"/>
  <c r="L71" i="11"/>
  <c r="N71" i="11"/>
  <c r="L72" i="11"/>
  <c r="N72" i="11"/>
  <c r="O72" i="11" s="1"/>
  <c r="D89" i="11"/>
  <c r="D91" i="11"/>
  <c r="J93" i="11"/>
  <c r="L93" i="11"/>
  <c r="D96" i="11"/>
  <c r="J99" i="11"/>
  <c r="M99" i="11"/>
  <c r="O99" i="11"/>
  <c r="J100" i="11"/>
  <c r="M100" i="11"/>
  <c r="O100" i="11"/>
  <c r="P100" i="11"/>
  <c r="J101" i="11"/>
  <c r="M101" i="11"/>
  <c r="J102" i="11"/>
  <c r="M102" i="11"/>
  <c r="O102" i="11"/>
  <c r="P102" i="11"/>
  <c r="M103" i="11"/>
  <c r="P103" i="11"/>
  <c r="O103" i="11"/>
  <c r="M109" i="11"/>
  <c r="O109" i="11"/>
  <c r="M110" i="11"/>
  <c r="O110" i="11"/>
  <c r="P110" i="11" s="1"/>
  <c r="M111" i="11"/>
  <c r="O111" i="11"/>
  <c r="P111" i="11" s="1"/>
  <c r="M112" i="11"/>
  <c r="O112" i="11"/>
  <c r="M113" i="11"/>
  <c r="O113" i="11"/>
  <c r="P113" i="11" s="1"/>
  <c r="M114" i="11"/>
  <c r="O114" i="11"/>
  <c r="P114" i="11" s="1"/>
  <c r="M115" i="11"/>
  <c r="O115" i="11"/>
  <c r="P115" i="11" s="1"/>
  <c r="M116" i="11"/>
  <c r="O116" i="11"/>
  <c r="P116" i="11" s="1"/>
  <c r="M117" i="11"/>
  <c r="O117" i="11"/>
  <c r="P117" i="11" s="1"/>
  <c r="M118" i="11"/>
  <c r="O118" i="11"/>
  <c r="P118" i="11" s="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O17" i="10" s="1"/>
  <c r="I18" i="10"/>
  <c r="L18" i="10"/>
  <c r="N18" i="10"/>
  <c r="I19" i="10"/>
  <c r="L19" i="10"/>
  <c r="N19" i="10"/>
  <c r="O19" i="10" s="1"/>
  <c r="I20" i="10"/>
  <c r="L20" i="10"/>
  <c r="N20" i="10"/>
  <c r="I21" i="10"/>
  <c r="L21" i="10"/>
  <c r="N21" i="10"/>
  <c r="O21" i="10" s="1"/>
  <c r="I22" i="10"/>
  <c r="L22" i="10"/>
  <c r="N22" i="10"/>
  <c r="O22" i="10"/>
  <c r="L23" i="10"/>
  <c r="N23" i="10"/>
  <c r="O23" i="10" s="1"/>
  <c r="L30" i="10"/>
  <c r="N30" i="10"/>
  <c r="L31" i="10"/>
  <c r="N31" i="10"/>
  <c r="L32" i="10"/>
  <c r="N32" i="10"/>
  <c r="L33" i="10"/>
  <c r="N33" i="10"/>
  <c r="L34" i="10"/>
  <c r="N34" i="10"/>
  <c r="L35" i="10"/>
  <c r="N35" i="10"/>
  <c r="O35" i="10" s="1"/>
  <c r="L36" i="10"/>
  <c r="N36" i="10"/>
  <c r="L37" i="10"/>
  <c r="N37" i="10"/>
  <c r="O37" i="10" s="1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O49" i="10" s="1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O57" i="10" s="1"/>
  <c r="L58" i="10"/>
  <c r="N58" i="10"/>
  <c r="L59" i="10"/>
  <c r="N59" i="10"/>
  <c r="O59" i="10" s="1"/>
  <c r="L60" i="10"/>
  <c r="N60" i="10"/>
  <c r="L61" i="10"/>
  <c r="N61" i="10"/>
  <c r="O61" i="10" s="1"/>
  <c r="L62" i="10"/>
  <c r="N62" i="10"/>
  <c r="L63" i="10"/>
  <c r="N63" i="10"/>
  <c r="O63" i="10" s="1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O71" i="10" s="1"/>
  <c r="L72" i="10"/>
  <c r="N72" i="10"/>
  <c r="D89" i="10"/>
  <c r="D91" i="10"/>
  <c r="J93" i="10"/>
  <c r="L93" i="10"/>
  <c r="D96" i="10"/>
  <c r="J99" i="10"/>
  <c r="M99" i="10"/>
  <c r="O99" i="10"/>
  <c r="P99" i="10"/>
  <c r="J100" i="10"/>
  <c r="M100" i="10"/>
  <c r="O100" i="10"/>
  <c r="P100" i="10" s="1"/>
  <c r="J101" i="10"/>
  <c r="M101" i="10"/>
  <c r="O101" i="10"/>
  <c r="P101" i="10"/>
  <c r="J102" i="10"/>
  <c r="M102" i="10"/>
  <c r="O102" i="10"/>
  <c r="P102" i="10" s="1"/>
  <c r="J103" i="10"/>
  <c r="M103" i="10"/>
  <c r="O103" i="10"/>
  <c r="P103" i="10"/>
  <c r="M104" i="10"/>
  <c r="O104" i="10"/>
  <c r="M110" i="10"/>
  <c r="O110" i="10"/>
  <c r="P110" i="10" s="1"/>
  <c r="M111" i="10"/>
  <c r="O111" i="10"/>
  <c r="M112" i="10"/>
  <c r="O112" i="10"/>
  <c r="P112" i="10" s="1"/>
  <c r="M113" i="10"/>
  <c r="O113" i="10"/>
  <c r="M114" i="10"/>
  <c r="O114" i="10"/>
  <c r="P114" i="10" s="1"/>
  <c r="M115" i="10"/>
  <c r="O115" i="10"/>
  <c r="M116" i="10"/>
  <c r="P116" i="10"/>
  <c r="O116" i="10"/>
  <c r="M117" i="10"/>
  <c r="P117" i="10" s="1"/>
  <c r="O117" i="10"/>
  <c r="M118" i="10"/>
  <c r="O118" i="10"/>
  <c r="M119" i="10"/>
  <c r="O119" i="10"/>
  <c r="M120" i="10"/>
  <c r="P120" i="10" s="1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P131" i="10" s="1"/>
  <c r="O131" i="10"/>
  <c r="M132" i="10"/>
  <c r="O132" i="10"/>
  <c r="M133" i="10"/>
  <c r="O133" i="10"/>
  <c r="M134" i="10"/>
  <c r="O134" i="10"/>
  <c r="P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P140" i="10" s="1"/>
  <c r="M141" i="10"/>
  <c r="O141" i="10"/>
  <c r="P141" i="10" s="1"/>
  <c r="M142" i="10"/>
  <c r="O142" i="10"/>
  <c r="M143" i="10"/>
  <c r="O143" i="10"/>
  <c r="P143" i="10" s="1"/>
  <c r="M144" i="10"/>
  <c r="O144" i="10"/>
  <c r="M145" i="10"/>
  <c r="O145" i="10"/>
  <c r="P145" i="10" s="1"/>
  <c r="M146" i="10"/>
  <c r="O146" i="10"/>
  <c r="P146" i="10" s="1"/>
  <c r="M147" i="10"/>
  <c r="O147" i="10"/>
  <c r="P147" i="10" s="1"/>
  <c r="M148" i="10"/>
  <c r="O148" i="10"/>
  <c r="P148" i="10" s="1"/>
  <c r="M149" i="10"/>
  <c r="O149" i="10"/>
  <c r="M150" i="10"/>
  <c r="O150" i="10"/>
  <c r="M151" i="10"/>
  <c r="O151" i="10"/>
  <c r="M152" i="10"/>
  <c r="O152" i="10"/>
  <c r="P152" i="10" s="1"/>
  <c r="M153" i="10"/>
  <c r="O153" i="10"/>
  <c r="P153" i="10" s="1"/>
  <c r="M154" i="10"/>
  <c r="O154" i="10"/>
  <c r="I11" i="9"/>
  <c r="K11" i="9"/>
  <c r="I17" i="9"/>
  <c r="L17" i="9"/>
  <c r="N17" i="9"/>
  <c r="O17" i="9" s="1"/>
  <c r="I18" i="9"/>
  <c r="L18" i="9"/>
  <c r="O18" i="9" s="1"/>
  <c r="N18" i="9"/>
  <c r="I19" i="9"/>
  <c r="L19" i="9"/>
  <c r="N19" i="9"/>
  <c r="O19" i="9" s="1"/>
  <c r="I21" i="9"/>
  <c r="L21" i="9"/>
  <c r="O21" i="9" s="1"/>
  <c r="N21" i="9"/>
  <c r="L22" i="9"/>
  <c r="O22" i="9"/>
  <c r="N22" i="9"/>
  <c r="L29" i="9"/>
  <c r="N29" i="9"/>
  <c r="L30" i="9"/>
  <c r="N30" i="9"/>
  <c r="O30" i="9" s="1"/>
  <c r="L31" i="9"/>
  <c r="N31" i="9"/>
  <c r="L32" i="9"/>
  <c r="N32" i="9"/>
  <c r="L33" i="9"/>
  <c r="N33" i="9"/>
  <c r="L34" i="9"/>
  <c r="N34" i="9"/>
  <c r="L35" i="9"/>
  <c r="N35" i="9"/>
  <c r="O35" i="9" s="1"/>
  <c r="L36" i="9"/>
  <c r="N36" i="9"/>
  <c r="L37" i="9"/>
  <c r="N37" i="9"/>
  <c r="O37" i="9" s="1"/>
  <c r="L38" i="9"/>
  <c r="N38" i="9"/>
  <c r="O38" i="9" s="1"/>
  <c r="L39" i="9"/>
  <c r="N39" i="9"/>
  <c r="L40" i="9"/>
  <c r="N40" i="9"/>
  <c r="O40" i="9" s="1"/>
  <c r="L41" i="9"/>
  <c r="N41" i="9"/>
  <c r="L42" i="9"/>
  <c r="N42" i="9"/>
  <c r="O42" i="9" s="1"/>
  <c r="L43" i="9"/>
  <c r="N43" i="9"/>
  <c r="L44" i="9"/>
  <c r="N44" i="9"/>
  <c r="O44" i="9" s="1"/>
  <c r="L45" i="9"/>
  <c r="N45" i="9"/>
  <c r="L46" i="9"/>
  <c r="N46" i="9"/>
  <c r="O46" i="9" s="1"/>
  <c r="L47" i="9"/>
  <c r="N47" i="9"/>
  <c r="L48" i="9"/>
  <c r="N48" i="9"/>
  <c r="L49" i="9"/>
  <c r="N49" i="9"/>
  <c r="O49" i="9" s="1"/>
  <c r="L50" i="9"/>
  <c r="N50" i="9"/>
  <c r="L51" i="9"/>
  <c r="N51" i="9"/>
  <c r="L52" i="9"/>
  <c r="N52" i="9"/>
  <c r="L53" i="9"/>
  <c r="N53" i="9"/>
  <c r="L54" i="9"/>
  <c r="N54" i="9"/>
  <c r="L55" i="9"/>
  <c r="N55" i="9"/>
  <c r="O55" i="9" s="1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O65" i="9" s="1"/>
  <c r="L66" i="9"/>
  <c r="N66" i="9"/>
  <c r="L67" i="9"/>
  <c r="N67" i="9"/>
  <c r="O67" i="9" s="1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P99" i="9" s="1"/>
  <c r="J100" i="9"/>
  <c r="M100" i="9"/>
  <c r="O100" i="9"/>
  <c r="P100" i="9" s="1"/>
  <c r="J101" i="9"/>
  <c r="M101" i="9"/>
  <c r="O101" i="9"/>
  <c r="P101" i="9" s="1"/>
  <c r="J102" i="9"/>
  <c r="O102" i="9"/>
  <c r="P102" i="9" s="1"/>
  <c r="M103" i="9"/>
  <c r="O103" i="9"/>
  <c r="P103" i="9" s="1"/>
  <c r="M109" i="9"/>
  <c r="O109" i="9"/>
  <c r="P109" i="9" s="1"/>
  <c r="M110" i="9"/>
  <c r="O110" i="9"/>
  <c r="P110" i="9" s="1"/>
  <c r="M111" i="9"/>
  <c r="O111" i="9"/>
  <c r="P111" i="9" s="1"/>
  <c r="M112" i="9"/>
  <c r="O112" i="9"/>
  <c r="M113" i="9"/>
  <c r="O113" i="9"/>
  <c r="M114" i="9"/>
  <c r="P114" i="9" s="1"/>
  <c r="O114" i="9"/>
  <c r="M115" i="9"/>
  <c r="O115" i="9"/>
  <c r="M116" i="9"/>
  <c r="O116" i="9"/>
  <c r="M117" i="9"/>
  <c r="O117" i="9"/>
  <c r="P117" i="9" s="1"/>
  <c r="M118" i="9"/>
  <c r="O118" i="9"/>
  <c r="M119" i="9"/>
  <c r="O119" i="9"/>
  <c r="M120" i="9"/>
  <c r="O120" i="9"/>
  <c r="M121" i="9"/>
  <c r="O121" i="9"/>
  <c r="P121" i="9" s="1"/>
  <c r="M122" i="9"/>
  <c r="O122" i="9"/>
  <c r="M123" i="9"/>
  <c r="O123" i="9"/>
  <c r="M124" i="9"/>
  <c r="O124" i="9"/>
  <c r="M125" i="9"/>
  <c r="O125" i="9"/>
  <c r="P125" i="9" s="1"/>
  <c r="M126" i="9"/>
  <c r="O126" i="9"/>
  <c r="M127" i="9"/>
  <c r="O127" i="9"/>
  <c r="M128" i="9"/>
  <c r="O128" i="9"/>
  <c r="M129" i="9"/>
  <c r="O129" i="9"/>
  <c r="P129" i="9" s="1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O18" i="8" s="1"/>
  <c r="I19" i="8"/>
  <c r="L19" i="8"/>
  <c r="N19" i="8"/>
  <c r="O19" i="8" s="1"/>
  <c r="I20" i="8"/>
  <c r="L20" i="8"/>
  <c r="N20" i="8"/>
  <c r="O20" i="8" s="1"/>
  <c r="L21" i="8"/>
  <c r="N21" i="8"/>
  <c r="O21" i="8" s="1"/>
  <c r="L28" i="8"/>
  <c r="N28" i="8"/>
  <c r="L29" i="8"/>
  <c r="O29" i="8" s="1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O47" i="8" s="1"/>
  <c r="L48" i="8"/>
  <c r="N48" i="8"/>
  <c r="L49" i="8"/>
  <c r="N49" i="8"/>
  <c r="O49" i="8" s="1"/>
  <c r="L50" i="8"/>
  <c r="N50" i="8"/>
  <c r="L51" i="8"/>
  <c r="N51" i="8"/>
  <c r="L52" i="8"/>
  <c r="N52" i="8"/>
  <c r="L53" i="8"/>
  <c r="N53" i="8"/>
  <c r="O53" i="8" s="1"/>
  <c r="L54" i="8"/>
  <c r="N54" i="8"/>
  <c r="L55" i="8"/>
  <c r="N55" i="8"/>
  <c r="O55" i="8" s="1"/>
  <c r="L56" i="8"/>
  <c r="N56" i="8"/>
  <c r="L57" i="8"/>
  <c r="N57" i="8"/>
  <c r="L58" i="8"/>
  <c r="N58" i="8"/>
  <c r="L59" i="8"/>
  <c r="N59" i="8"/>
  <c r="L60" i="8"/>
  <c r="N60" i="8"/>
  <c r="L61" i="8"/>
  <c r="N61" i="8"/>
  <c r="O61" i="8" s="1"/>
  <c r="L62" i="8"/>
  <c r="N62" i="8"/>
  <c r="L63" i="8"/>
  <c r="N63" i="8"/>
  <c r="O63" i="8" s="1"/>
  <c r="L64" i="8"/>
  <c r="N64" i="8"/>
  <c r="L65" i="8"/>
  <c r="N65" i="8"/>
  <c r="L66" i="8"/>
  <c r="O66" i="8" s="1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P99" i="8"/>
  <c r="J100" i="8"/>
  <c r="M100" i="8"/>
  <c r="O100" i="8"/>
  <c r="P100" i="8" s="1"/>
  <c r="J101" i="8"/>
  <c r="M101" i="8"/>
  <c r="O101" i="8"/>
  <c r="P101" i="8"/>
  <c r="O102" i="8"/>
  <c r="P102" i="8"/>
  <c r="M108" i="8"/>
  <c r="O108" i="8"/>
  <c r="M109" i="8"/>
  <c r="O109" i="8"/>
  <c r="M110" i="8"/>
  <c r="P110" i="8" s="1"/>
  <c r="O110" i="8"/>
  <c r="M111" i="8"/>
  <c r="O111" i="8"/>
  <c r="P111" i="8" s="1"/>
  <c r="M112" i="8"/>
  <c r="O112" i="8"/>
  <c r="M113" i="8"/>
  <c r="O113" i="8"/>
  <c r="P113" i="8" s="1"/>
  <c r="M114" i="8"/>
  <c r="O114" i="8"/>
  <c r="M115" i="8"/>
  <c r="O115" i="8"/>
  <c r="P115" i="8" s="1"/>
  <c r="M116" i="8"/>
  <c r="O116" i="8"/>
  <c r="M117" i="8"/>
  <c r="O117" i="8"/>
  <c r="P117" i="8" s="1"/>
  <c r="M118" i="8"/>
  <c r="O118" i="8"/>
  <c r="M119" i="8"/>
  <c r="O119" i="8"/>
  <c r="P119" i="8" s="1"/>
  <c r="M120" i="8"/>
  <c r="O120" i="8"/>
  <c r="M121" i="8"/>
  <c r="O121" i="8"/>
  <c r="P121" i="8" s="1"/>
  <c r="M122" i="8"/>
  <c r="O122" i="8"/>
  <c r="M123" i="8"/>
  <c r="P123" i="8" s="1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P129" i="8"/>
  <c r="M130" i="8"/>
  <c r="O130" i="8"/>
  <c r="M131" i="8"/>
  <c r="O131" i="8"/>
  <c r="P131" i="8" s="1"/>
  <c r="M132" i="8"/>
  <c r="O132" i="8"/>
  <c r="M133" i="8"/>
  <c r="O133" i="8"/>
  <c r="P133" i="8" s="1"/>
  <c r="M134" i="8"/>
  <c r="O134" i="8"/>
  <c r="M135" i="8"/>
  <c r="O135" i="8"/>
  <c r="P135" i="8" s="1"/>
  <c r="M136" i="8"/>
  <c r="O136" i="8"/>
  <c r="P136" i="8" s="1"/>
  <c r="M137" i="8"/>
  <c r="O137" i="8"/>
  <c r="M138" i="8"/>
  <c r="O138" i="8"/>
  <c r="P138" i="8" s="1"/>
  <c r="M139" i="8"/>
  <c r="O139" i="8"/>
  <c r="P139" i="8" s="1"/>
  <c r="M140" i="8"/>
  <c r="O140" i="8"/>
  <c r="M141" i="8"/>
  <c r="O141" i="8"/>
  <c r="P141" i="8" s="1"/>
  <c r="M142" i="8"/>
  <c r="O142" i="8"/>
  <c r="P142" i="8" s="1"/>
  <c r="M143" i="8"/>
  <c r="O143" i="8"/>
  <c r="P143" i="8" s="1"/>
  <c r="M144" i="8"/>
  <c r="O144" i="8"/>
  <c r="P144" i="8" s="1"/>
  <c r="M145" i="8"/>
  <c r="O145" i="8"/>
  <c r="P145" i="8" s="1"/>
  <c r="M146" i="8"/>
  <c r="O146" i="8"/>
  <c r="P146" i="8" s="1"/>
  <c r="M147" i="8"/>
  <c r="O147" i="8"/>
  <c r="P147" i="8" s="1"/>
  <c r="M148" i="8"/>
  <c r="O148" i="8"/>
  <c r="P148" i="8" s="1"/>
  <c r="M149" i="8"/>
  <c r="O149" i="8"/>
  <c r="M150" i="8"/>
  <c r="O150" i="8"/>
  <c r="P150" i="8" s="1"/>
  <c r="M151" i="8"/>
  <c r="O151" i="8"/>
  <c r="P151" i="8" s="1"/>
  <c r="M152" i="8"/>
  <c r="O152" i="8"/>
  <c r="M153" i="8"/>
  <c r="O153" i="8"/>
  <c r="P153" i="8" s="1"/>
  <c r="M154" i="8"/>
  <c r="O154" i="8"/>
  <c r="I11" i="7"/>
  <c r="K11" i="7"/>
  <c r="I17" i="7"/>
  <c r="L17" i="7"/>
  <c r="N17" i="7"/>
  <c r="O17" i="7" s="1"/>
  <c r="I18" i="7"/>
  <c r="N18" i="7"/>
  <c r="O18" i="7"/>
  <c r="I19" i="7"/>
  <c r="L19" i="7"/>
  <c r="N19" i="7"/>
  <c r="O19" i="7" s="1"/>
  <c r="I20" i="7"/>
  <c r="L20" i="7"/>
  <c r="N20" i="7"/>
  <c r="O20" i="7" s="1"/>
  <c r="I21" i="7"/>
  <c r="L21" i="7"/>
  <c r="I22" i="7"/>
  <c r="L22" i="7"/>
  <c r="N22" i="7"/>
  <c r="O22" i="7" s="1"/>
  <c r="L23" i="7"/>
  <c r="N23" i="7"/>
  <c r="O23" i="7" s="1"/>
  <c r="L30" i="7"/>
  <c r="N30" i="7"/>
  <c r="L31" i="7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O38" i="7" s="1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O49" i="7" s="1"/>
  <c r="N49" i="7"/>
  <c r="L50" i="7"/>
  <c r="N50" i="7"/>
  <c r="L51" i="7"/>
  <c r="O51" i="7" s="1"/>
  <c r="N51" i="7"/>
  <c r="L52" i="7"/>
  <c r="N52" i="7"/>
  <c r="L53" i="7"/>
  <c r="N53" i="7"/>
  <c r="L54" i="7"/>
  <c r="N54" i="7"/>
  <c r="L55" i="7"/>
  <c r="O55" i="7" s="1"/>
  <c r="N55" i="7"/>
  <c r="L56" i="7"/>
  <c r="N56" i="7"/>
  <c r="L57" i="7"/>
  <c r="N57" i="7"/>
  <c r="L58" i="7"/>
  <c r="N58" i="7"/>
  <c r="L59" i="7"/>
  <c r="O59" i="7" s="1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O66" i="7" s="1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P99" i="7" s="1"/>
  <c r="O99" i="7"/>
  <c r="J100" i="7"/>
  <c r="M100" i="7"/>
  <c r="P100" i="7"/>
  <c r="O100" i="7"/>
  <c r="J101" i="7"/>
  <c r="O101" i="7"/>
  <c r="P101" i="7" s="1"/>
  <c r="J102" i="7"/>
  <c r="O102" i="7"/>
  <c r="J103" i="7"/>
  <c r="M103" i="7"/>
  <c r="O103" i="7"/>
  <c r="P103" i="7"/>
  <c r="M104" i="7"/>
  <c r="O104" i="7"/>
  <c r="P104" i="7" s="1"/>
  <c r="M110" i="7"/>
  <c r="O110" i="7"/>
  <c r="M111" i="7"/>
  <c r="O111" i="7"/>
  <c r="P111" i="7" s="1"/>
  <c r="M112" i="7"/>
  <c r="O112" i="7"/>
  <c r="P112" i="7" s="1"/>
  <c r="M113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P123" i="7" s="1"/>
  <c r="M124" i="7"/>
  <c r="O124" i="7"/>
  <c r="M125" i="7"/>
  <c r="O125" i="7"/>
  <c r="M126" i="7"/>
  <c r="O126" i="7"/>
  <c r="M127" i="7"/>
  <c r="O127" i="7"/>
  <c r="P127" i="7" s="1"/>
  <c r="M128" i="7"/>
  <c r="O128" i="7"/>
  <c r="P128" i="7" s="1"/>
  <c r="M129" i="7"/>
  <c r="O129" i="7"/>
  <c r="M130" i="7"/>
  <c r="O130" i="7"/>
  <c r="P130" i="7" s="1"/>
  <c r="M131" i="7"/>
  <c r="O131" i="7"/>
  <c r="M132" i="7"/>
  <c r="O132" i="7"/>
  <c r="M133" i="7"/>
  <c r="O133" i="7"/>
  <c r="P133" i="7" s="1"/>
  <c r="M134" i="7"/>
  <c r="O134" i="7"/>
  <c r="M135" i="7"/>
  <c r="O135" i="7"/>
  <c r="P135" i="7" s="1"/>
  <c r="M136" i="7"/>
  <c r="O136" i="7"/>
  <c r="P136" i="7" s="1"/>
  <c r="M137" i="7"/>
  <c r="O137" i="7"/>
  <c r="P137" i="7" s="1"/>
  <c r="M138" i="7"/>
  <c r="O138" i="7"/>
  <c r="M139" i="7"/>
  <c r="O139" i="7"/>
  <c r="M140" i="7"/>
  <c r="O140" i="7"/>
  <c r="M141" i="7"/>
  <c r="O141" i="7"/>
  <c r="M142" i="7"/>
  <c r="O142" i="7"/>
  <c r="P142" i="7" s="1"/>
  <c r="M143" i="7"/>
  <c r="O143" i="7"/>
  <c r="M144" i="7"/>
  <c r="O144" i="7"/>
  <c r="P144" i="7" s="1"/>
  <c r="M145" i="7"/>
  <c r="O145" i="7"/>
  <c r="P145" i="7" s="1"/>
  <c r="M146" i="7"/>
  <c r="O146" i="7"/>
  <c r="M147" i="7"/>
  <c r="O147" i="7"/>
  <c r="P147" i="7" s="1"/>
  <c r="M148" i="7"/>
  <c r="O148" i="7"/>
  <c r="P148" i="7" s="1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/>
  <c r="L19" i="6"/>
  <c r="N19" i="6"/>
  <c r="O19" i="6" s="1"/>
  <c r="L20" i="6"/>
  <c r="N20" i="6"/>
  <c r="O20" i="6" s="1"/>
  <c r="L21" i="6"/>
  <c r="N21" i="6"/>
  <c r="O21" i="6" s="1"/>
  <c r="L28" i="6"/>
  <c r="N28" i="6"/>
  <c r="L29" i="6"/>
  <c r="N29" i="6"/>
  <c r="L30" i="6"/>
  <c r="N30" i="6"/>
  <c r="L31" i="6"/>
  <c r="O31" i="6" s="1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O42" i="6" s="1"/>
  <c r="N42" i="6"/>
  <c r="L43" i="6"/>
  <c r="N43" i="6"/>
  <c r="L44" i="6"/>
  <c r="N44" i="6"/>
  <c r="C53" i="6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O51" i="6" s="1"/>
  <c r="N51" i="6"/>
  <c r="L52" i="6"/>
  <c r="N52" i="6"/>
  <c r="O52" i="6" s="1"/>
  <c r="L53" i="6"/>
  <c r="N53" i="6"/>
  <c r="L54" i="6"/>
  <c r="O54" i="6" s="1"/>
  <c r="N54" i="6"/>
  <c r="L55" i="6"/>
  <c r="N55" i="6"/>
  <c r="L56" i="6"/>
  <c r="N56" i="6"/>
  <c r="O56" i="6" s="1"/>
  <c r="L57" i="6"/>
  <c r="N57" i="6"/>
  <c r="L58" i="6"/>
  <c r="N58" i="6"/>
  <c r="L59" i="6"/>
  <c r="N59" i="6"/>
  <c r="L60" i="6"/>
  <c r="N60" i="6"/>
  <c r="O60" i="6" s="1"/>
  <c r="L61" i="6"/>
  <c r="N61" i="6"/>
  <c r="L62" i="6"/>
  <c r="N62" i="6"/>
  <c r="O62" i="6" s="1"/>
  <c r="L63" i="6"/>
  <c r="N63" i="6"/>
  <c r="L64" i="6"/>
  <c r="N64" i="6"/>
  <c r="O64" i="6" s="1"/>
  <c r="L65" i="6"/>
  <c r="N65" i="6"/>
  <c r="O65" i="6" s="1"/>
  <c r="L66" i="6"/>
  <c r="N66" i="6"/>
  <c r="O66" i="6" s="1"/>
  <c r="L67" i="6"/>
  <c r="N67" i="6"/>
  <c r="O67" i="6" s="1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O100" i="6"/>
  <c r="P100" i="6" s="1"/>
  <c r="J101" i="6"/>
  <c r="M101" i="6"/>
  <c r="P101" i="6" s="1"/>
  <c r="O101" i="6"/>
  <c r="M102" i="6"/>
  <c r="O102" i="6"/>
  <c r="P102" i="6"/>
  <c r="M108" i="6"/>
  <c r="O108" i="6"/>
  <c r="M109" i="6"/>
  <c r="O109" i="6"/>
  <c r="M110" i="6"/>
  <c r="O110" i="6"/>
  <c r="M111" i="6"/>
  <c r="O111" i="6"/>
  <c r="M112" i="6"/>
  <c r="O112" i="6"/>
  <c r="M113" i="6"/>
  <c r="P113" i="6" s="1"/>
  <c r="O113" i="6"/>
  <c r="M114" i="6"/>
  <c r="O114" i="6"/>
  <c r="M115" i="6"/>
  <c r="O115" i="6"/>
  <c r="M116" i="6"/>
  <c r="O116" i="6"/>
  <c r="M117" i="6"/>
  <c r="P117" i="6" s="1"/>
  <c r="O117" i="6"/>
  <c r="M118" i="6"/>
  <c r="O118" i="6"/>
  <c r="P118" i="6" s="1"/>
  <c r="M119" i="6"/>
  <c r="O119" i="6"/>
  <c r="M120" i="6"/>
  <c r="O120" i="6"/>
  <c r="P120" i="6" s="1"/>
  <c r="M121" i="6"/>
  <c r="O121" i="6"/>
  <c r="M122" i="6"/>
  <c r="O122" i="6"/>
  <c r="P122" i="6" s="1"/>
  <c r="M123" i="6"/>
  <c r="O123" i="6"/>
  <c r="M124" i="6"/>
  <c r="O124" i="6"/>
  <c r="P124" i="6" s="1"/>
  <c r="M125" i="6"/>
  <c r="O125" i="6"/>
  <c r="M126" i="6"/>
  <c r="O126" i="6"/>
  <c r="P126" i="6" s="1"/>
  <c r="M127" i="6"/>
  <c r="O127" i="6"/>
  <c r="M128" i="6"/>
  <c r="O128" i="6"/>
  <c r="P128" i="6" s="1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P136" i="6" s="1"/>
  <c r="M137" i="6"/>
  <c r="O137" i="6"/>
  <c r="M138" i="6"/>
  <c r="O138" i="6"/>
  <c r="M139" i="6"/>
  <c r="O139" i="6"/>
  <c r="M140" i="6"/>
  <c r="O140" i="6"/>
  <c r="P140" i="6" s="1"/>
  <c r="M141" i="6"/>
  <c r="O141" i="6"/>
  <c r="M142" i="6"/>
  <c r="O142" i="6"/>
  <c r="M143" i="6"/>
  <c r="O143" i="6"/>
  <c r="M144" i="6"/>
  <c r="O144" i="6"/>
  <c r="P144" i="6" s="1"/>
  <c r="M145" i="6"/>
  <c r="O145" i="6"/>
  <c r="M146" i="6"/>
  <c r="O146" i="6"/>
  <c r="M147" i="6"/>
  <c r="O147" i="6"/>
  <c r="M148" i="6"/>
  <c r="O148" i="6"/>
  <c r="P148" i="6" s="1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I18" i="5"/>
  <c r="L18" i="5"/>
  <c r="N18" i="5"/>
  <c r="O18" i="5" s="1"/>
  <c r="I19" i="5"/>
  <c r="L19" i="5"/>
  <c r="N19" i="5"/>
  <c r="O19" i="5"/>
  <c r="L20" i="5"/>
  <c r="N20" i="5"/>
  <c r="L27" i="5"/>
  <c r="N27" i="5"/>
  <c r="L28" i="5"/>
  <c r="N28" i="5"/>
  <c r="O28" i="5" s="1"/>
  <c r="L29" i="5"/>
  <c r="N29" i="5"/>
  <c r="L30" i="5"/>
  <c r="N30" i="5"/>
  <c r="L31" i="5"/>
  <c r="N31" i="5"/>
  <c r="L32" i="5"/>
  <c r="N32" i="5"/>
  <c r="O32" i="5" s="1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O41" i="5" s="1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O48" i="5" s="1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M99" i="5"/>
  <c r="P99" i="5" s="1"/>
  <c r="O99" i="5"/>
  <c r="J100" i="5"/>
  <c r="O100" i="5"/>
  <c r="P100" i="5" s="1"/>
  <c r="M101" i="5"/>
  <c r="O101" i="5"/>
  <c r="P101" i="5"/>
  <c r="M107" i="5"/>
  <c r="O107" i="5"/>
  <c r="M108" i="5"/>
  <c r="O108" i="5"/>
  <c r="M109" i="5"/>
  <c r="O109" i="5"/>
  <c r="M110" i="5"/>
  <c r="O110" i="5"/>
  <c r="P110" i="5" s="1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P121" i="5" s="1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P129" i="5" s="1"/>
  <c r="O129" i="5"/>
  <c r="M130" i="5"/>
  <c r="O130" i="5"/>
  <c r="M131" i="5"/>
  <c r="O131" i="5"/>
  <c r="M132" i="5"/>
  <c r="O132" i="5"/>
  <c r="M133" i="5"/>
  <c r="P133" i="5" s="1"/>
  <c r="O133" i="5"/>
  <c r="M134" i="5"/>
  <c r="O134" i="5"/>
  <c r="M135" i="5"/>
  <c r="O135" i="5"/>
  <c r="M136" i="5"/>
  <c r="O136" i="5"/>
  <c r="M137" i="5"/>
  <c r="O137" i="5"/>
  <c r="M138" i="5"/>
  <c r="O138" i="5"/>
  <c r="P138" i="5"/>
  <c r="M139" i="5"/>
  <c r="O139" i="5"/>
  <c r="M140" i="5"/>
  <c r="O140" i="5"/>
  <c r="M141" i="5"/>
  <c r="O141" i="5"/>
  <c r="M142" i="5"/>
  <c r="O142" i="5"/>
  <c r="M143" i="5"/>
  <c r="O143" i="5"/>
  <c r="P143" i="5" s="1"/>
  <c r="M144" i="5"/>
  <c r="O144" i="5"/>
  <c r="M145" i="5"/>
  <c r="O145" i="5"/>
  <c r="M146" i="5"/>
  <c r="O146" i="5"/>
  <c r="M147" i="5"/>
  <c r="O147" i="5"/>
  <c r="P147" i="5" s="1"/>
  <c r="M148" i="5"/>
  <c r="O148" i="5"/>
  <c r="M149" i="5"/>
  <c r="O149" i="5"/>
  <c r="M150" i="5"/>
  <c r="O150" i="5"/>
  <c r="P150" i="5" s="1"/>
  <c r="M151" i="5"/>
  <c r="O151" i="5"/>
  <c r="P151" i="5" s="1"/>
  <c r="M152" i="5"/>
  <c r="O152" i="5"/>
  <c r="P152" i="5" s="1"/>
  <c r="M153" i="5"/>
  <c r="O153" i="5"/>
  <c r="M154" i="5"/>
  <c r="O154" i="5"/>
  <c r="K11" i="4"/>
  <c r="I17" i="4"/>
  <c r="L17" i="4"/>
  <c r="N17" i="4"/>
  <c r="O17" i="4" s="1"/>
  <c r="I18" i="4"/>
  <c r="L18" i="4"/>
  <c r="N18" i="4"/>
  <c r="O18" i="4"/>
  <c r="I19" i="4"/>
  <c r="L19" i="4"/>
  <c r="N19" i="4"/>
  <c r="O19" i="4" s="1"/>
  <c r="L20" i="4"/>
  <c r="N20" i="4"/>
  <c r="L27" i="4"/>
  <c r="N27" i="4"/>
  <c r="L28" i="4"/>
  <c r="O28" i="4" s="1"/>
  <c r="N28" i="4"/>
  <c r="L29" i="4"/>
  <c r="N29" i="4"/>
  <c r="L30" i="4"/>
  <c r="O30" i="4" s="1"/>
  <c r="N30" i="4"/>
  <c r="L31" i="4"/>
  <c r="N31" i="4"/>
  <c r="L32" i="4"/>
  <c r="N32" i="4"/>
  <c r="L33" i="4"/>
  <c r="N33" i="4"/>
  <c r="L34" i="4"/>
  <c r="N34" i="4"/>
  <c r="L35" i="4"/>
  <c r="N35" i="4"/>
  <c r="O35" i="4" s="1"/>
  <c r="L36" i="4"/>
  <c r="N36" i="4"/>
  <c r="L37" i="4"/>
  <c r="N37" i="4"/>
  <c r="O37" i="4" s="1"/>
  <c r="L38" i="4"/>
  <c r="N38" i="4"/>
  <c r="L39" i="4"/>
  <c r="N39" i="4"/>
  <c r="O39" i="4" s="1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O58" i="4" s="1"/>
  <c r="L59" i="4"/>
  <c r="N59" i="4"/>
  <c r="L60" i="4"/>
  <c r="N60" i="4"/>
  <c r="L61" i="4"/>
  <c r="N61" i="4"/>
  <c r="L62" i="4"/>
  <c r="N62" i="4"/>
  <c r="L63" i="4"/>
  <c r="N63" i="4"/>
  <c r="O63" i="4" s="1"/>
  <c r="L64" i="4"/>
  <c r="N64" i="4"/>
  <c r="O64" i="4" s="1"/>
  <c r="L65" i="4"/>
  <c r="N65" i="4"/>
  <c r="O65" i="4" s="1"/>
  <c r="L66" i="4"/>
  <c r="N66" i="4"/>
  <c r="L67" i="4"/>
  <c r="N67" i="4"/>
  <c r="L68" i="4"/>
  <c r="N68" i="4"/>
  <c r="O68" i="4" s="1"/>
  <c r="L69" i="4"/>
  <c r="N69" i="4"/>
  <c r="O69" i="4" s="1"/>
  <c r="L70" i="4"/>
  <c r="N70" i="4"/>
  <c r="O70" i="4" s="1"/>
  <c r="L71" i="4"/>
  <c r="N71" i="4"/>
  <c r="L72" i="4"/>
  <c r="N72" i="4"/>
  <c r="O72" i="4" s="1"/>
  <c r="D89" i="4"/>
  <c r="D91" i="4"/>
  <c r="J93" i="4"/>
  <c r="L93" i="4"/>
  <c r="D96" i="4"/>
  <c r="J99" i="4"/>
  <c r="M99" i="4"/>
  <c r="O99" i="4"/>
  <c r="P99" i="4" s="1"/>
  <c r="J100" i="4"/>
  <c r="M100" i="4"/>
  <c r="O100" i="4"/>
  <c r="M101" i="4"/>
  <c r="O101" i="4"/>
  <c r="P101" i="4" s="1"/>
  <c r="O105" i="4"/>
  <c r="P105" i="4"/>
  <c r="M107" i="4"/>
  <c r="O107" i="4"/>
  <c r="P107" i="4" s="1"/>
  <c r="M108" i="4"/>
  <c r="O108" i="4"/>
  <c r="M109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P115" i="4" s="1"/>
  <c r="M116" i="4"/>
  <c r="O116" i="4"/>
  <c r="M117" i="4"/>
  <c r="P117" i="4" s="1"/>
  <c r="O117" i="4"/>
  <c r="M118" i="4"/>
  <c r="O118" i="4"/>
  <c r="M119" i="4"/>
  <c r="O119" i="4"/>
  <c r="M120" i="4"/>
  <c r="O120" i="4"/>
  <c r="M121" i="4"/>
  <c r="P121" i="4" s="1"/>
  <c r="O121" i="4"/>
  <c r="M122" i="4"/>
  <c r="O122" i="4"/>
  <c r="M123" i="4"/>
  <c r="O123" i="4"/>
  <c r="M124" i="4"/>
  <c r="O124" i="4"/>
  <c r="M125" i="4"/>
  <c r="P125" i="4" s="1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P136" i="4" s="1"/>
  <c r="O136" i="4"/>
  <c r="M137" i="4"/>
  <c r="O137" i="4"/>
  <c r="P137" i="4" s="1"/>
  <c r="M138" i="4"/>
  <c r="O138" i="4"/>
  <c r="M139" i="4"/>
  <c r="O139" i="4"/>
  <c r="P139" i="4" s="1"/>
  <c r="M140" i="4"/>
  <c r="O140" i="4"/>
  <c r="M141" i="4"/>
  <c r="O141" i="4"/>
  <c r="M142" i="4"/>
  <c r="O142" i="4"/>
  <c r="M143" i="4"/>
  <c r="O143" i="4"/>
  <c r="M144" i="4"/>
  <c r="O144" i="4"/>
  <c r="M145" i="4"/>
  <c r="O145" i="4"/>
  <c r="P145" i="4" s="1"/>
  <c r="M146" i="4"/>
  <c r="O146" i="4"/>
  <c r="M147" i="4"/>
  <c r="O147" i="4"/>
  <c r="P147" i="4" s="1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P154" i="4" s="1"/>
  <c r="O154" i="4"/>
  <c r="K11" i="3"/>
  <c r="I17" i="3"/>
  <c r="L17" i="3"/>
  <c r="N17" i="3"/>
  <c r="O17" i="3" s="1"/>
  <c r="L18" i="3"/>
  <c r="N18" i="3"/>
  <c r="L19" i="3"/>
  <c r="N19" i="3"/>
  <c r="O19" i="3" s="1"/>
  <c r="L20" i="3"/>
  <c r="N20" i="3"/>
  <c r="L27" i="3"/>
  <c r="N27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O35" i="3" s="1"/>
  <c r="N35" i="3"/>
  <c r="L36" i="3"/>
  <c r="N36" i="3"/>
  <c r="L37" i="3"/>
  <c r="N37" i="3"/>
  <c r="L38" i="3"/>
  <c r="N38" i="3"/>
  <c r="L39" i="3"/>
  <c r="N39" i="3"/>
  <c r="L40" i="3"/>
  <c r="N40" i="3"/>
  <c r="O40" i="3" s="1"/>
  <c r="L41" i="3"/>
  <c r="N41" i="3"/>
  <c r="L42" i="3"/>
  <c r="N42" i="3"/>
  <c r="O42" i="3" s="1"/>
  <c r="L43" i="3"/>
  <c r="O43" i="3" s="1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O50" i="3" s="1"/>
  <c r="L51" i="3"/>
  <c r="N51" i="3"/>
  <c r="L52" i="3"/>
  <c r="N52" i="3"/>
  <c r="L53" i="3"/>
  <c r="N53" i="3"/>
  <c r="O53" i="3" s="1"/>
  <c r="L54" i="3"/>
  <c r="N54" i="3"/>
  <c r="L55" i="3"/>
  <c r="N55" i="3"/>
  <c r="L56" i="3"/>
  <c r="N56" i="3"/>
  <c r="L57" i="3"/>
  <c r="N57" i="3"/>
  <c r="L58" i="3"/>
  <c r="N58" i="3"/>
  <c r="L59" i="3"/>
  <c r="N59" i="3"/>
  <c r="O59" i="3" s="1"/>
  <c r="L60" i="3"/>
  <c r="N60" i="3"/>
  <c r="L61" i="3"/>
  <c r="N61" i="3"/>
  <c r="O61" i="3" s="1"/>
  <c r="L62" i="3"/>
  <c r="N62" i="3"/>
  <c r="L63" i="3"/>
  <c r="N63" i="3"/>
  <c r="L64" i="3"/>
  <c r="N64" i="3"/>
  <c r="L65" i="3"/>
  <c r="N65" i="3"/>
  <c r="O65" i="3" s="1"/>
  <c r="L66" i="3"/>
  <c r="N66" i="3"/>
  <c r="L67" i="3"/>
  <c r="N67" i="3"/>
  <c r="O67" i="3" s="1"/>
  <c r="L68" i="3"/>
  <c r="N68" i="3"/>
  <c r="L69" i="3"/>
  <c r="N69" i="3"/>
  <c r="L70" i="3"/>
  <c r="N70" i="3"/>
  <c r="L71" i="3"/>
  <c r="N71" i="3"/>
  <c r="O71" i="3" s="1"/>
  <c r="L72" i="3"/>
  <c r="N72" i="3"/>
  <c r="D89" i="3"/>
  <c r="D91" i="3"/>
  <c r="J93" i="3"/>
  <c r="L93" i="3"/>
  <c r="D96" i="3"/>
  <c r="J99" i="3"/>
  <c r="M99" i="3"/>
  <c r="O99" i="3"/>
  <c r="P99" i="3"/>
  <c r="J100" i="3"/>
  <c r="M100" i="3"/>
  <c r="O100" i="3"/>
  <c r="P100" i="3"/>
  <c r="M101" i="3"/>
  <c r="O101" i="3"/>
  <c r="M107" i="3"/>
  <c r="O107" i="3"/>
  <c r="M108" i="3"/>
  <c r="O108" i="3"/>
  <c r="M109" i="3"/>
  <c r="O109" i="3"/>
  <c r="P109" i="3" s="1"/>
  <c r="M110" i="3"/>
  <c r="O110" i="3"/>
  <c r="P110" i="3" s="1"/>
  <c r="M111" i="3"/>
  <c r="O111" i="3"/>
  <c r="P111" i="3" s="1"/>
  <c r="M112" i="3"/>
  <c r="O112" i="3"/>
  <c r="M113" i="3"/>
  <c r="O113" i="3"/>
  <c r="M114" i="3"/>
  <c r="O114" i="3"/>
  <c r="P114" i="3" s="1"/>
  <c r="M115" i="3"/>
  <c r="O115" i="3"/>
  <c r="M116" i="3"/>
  <c r="O116" i="3"/>
  <c r="P116" i="3" s="1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P123" i="3" s="1"/>
  <c r="M124" i="3"/>
  <c r="O124" i="3"/>
  <c r="P124" i="3" s="1"/>
  <c r="M125" i="3"/>
  <c r="O125" i="3"/>
  <c r="M126" i="3"/>
  <c r="O126" i="3"/>
  <c r="M127" i="3"/>
  <c r="O127" i="3"/>
  <c r="P127" i="3" s="1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P141" i="3" s="1"/>
  <c r="M142" i="3"/>
  <c r="O142" i="3"/>
  <c r="M143" i="3"/>
  <c r="O143" i="3"/>
  <c r="M144" i="3"/>
  <c r="O144" i="3"/>
  <c r="M145" i="3"/>
  <c r="O145" i="3"/>
  <c r="P145" i="3" s="1"/>
  <c r="M146" i="3"/>
  <c r="O146" i="3"/>
  <c r="M147" i="3"/>
  <c r="O147" i="3"/>
  <c r="P147" i="3" s="1"/>
  <c r="M148" i="3"/>
  <c r="O148" i="3"/>
  <c r="M149" i="3"/>
  <c r="O149" i="3"/>
  <c r="M150" i="3"/>
  <c r="O150" i="3"/>
  <c r="M151" i="3"/>
  <c r="O151" i="3"/>
  <c r="M152" i="3"/>
  <c r="O152" i="3"/>
  <c r="M153" i="3"/>
  <c r="O153" i="3"/>
  <c r="P153" i="3" s="1"/>
  <c r="M154" i="3"/>
  <c r="P154" i="3" s="1"/>
  <c r="O154" i="3"/>
  <c r="F12" i="2"/>
  <c r="F14" i="2"/>
  <c r="E19" i="2" s="1"/>
  <c r="F19" i="2" s="1"/>
  <c r="D17" i="2"/>
  <c r="E17" i="2"/>
  <c r="F17" i="2" s="1"/>
  <c r="F20" i="2" s="1"/>
  <c r="E25" i="2" s="1"/>
  <c r="E26" i="2" s="1"/>
  <c r="D18" i="2"/>
  <c r="E18" i="2"/>
  <c r="F18" i="2" s="1"/>
  <c r="D19" i="2"/>
  <c r="C24" i="2"/>
  <c r="E24" i="2"/>
  <c r="C31" i="2"/>
  <c r="E31" i="2"/>
  <c r="C34" i="2"/>
  <c r="E34" i="2"/>
  <c r="C40" i="2"/>
  <c r="C44" i="2"/>
  <c r="F44" i="2"/>
  <c r="C45" i="2"/>
  <c r="F45" i="2"/>
  <c r="C46" i="2"/>
  <c r="F46" i="2"/>
  <c r="C47" i="2"/>
  <c r="F47" i="2"/>
  <c r="C52" i="2"/>
  <c r="C58" i="2"/>
  <c r="F58" i="2"/>
  <c r="C75" i="2"/>
  <c r="F75" i="2"/>
  <c r="C81" i="2"/>
  <c r="C90" i="2"/>
  <c r="E17" i="1"/>
  <c r="D19" i="1"/>
  <c r="C24" i="1"/>
  <c r="E24" i="1"/>
  <c r="C34" i="1"/>
  <c r="E34" i="1"/>
  <c r="C40" i="1"/>
  <c r="C44" i="1"/>
  <c r="C45" i="1"/>
  <c r="F45" i="1"/>
  <c r="C47" i="1"/>
  <c r="F47" i="1"/>
  <c r="C52" i="1"/>
  <c r="C81" i="1"/>
  <c r="C90" i="1"/>
  <c r="S132" i="1"/>
  <c r="S133" i="1"/>
  <c r="S134" i="1"/>
  <c r="I20" i="6"/>
  <c r="I19" i="6"/>
  <c r="O17" i="22"/>
  <c r="B21" i="8"/>
  <c r="B21" i="6"/>
  <c r="B19" i="22"/>
  <c r="D8" i="3"/>
  <c r="D90" i="3" s="1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P99" i="23"/>
  <c r="O18" i="23"/>
  <c r="P100" i="22"/>
  <c r="O19" i="22"/>
  <c r="B104" i="11"/>
  <c r="P104" i="10"/>
  <c r="B24" i="10"/>
  <c r="B104" i="9"/>
  <c r="B23" i="9"/>
  <c r="B102" i="5"/>
  <c r="O20" i="4"/>
  <c r="B102" i="3"/>
  <c r="O20" i="3"/>
  <c r="B21" i="3"/>
  <c r="O19" i="25"/>
  <c r="O17" i="25"/>
  <c r="B19" i="25"/>
  <c r="B20" i="25"/>
  <c r="I18" i="25"/>
  <c r="C99" i="27"/>
  <c r="C100" i="27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100" i="28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99" i="24"/>
  <c r="C100" i="24" s="1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P101" i="22"/>
  <c r="O20" i="22"/>
  <c r="P105" i="10"/>
  <c r="O24" i="10"/>
  <c r="B25" i="10"/>
  <c r="B24" i="9"/>
  <c r="P103" i="8"/>
  <c r="O22" i="8"/>
  <c r="B23" i="8"/>
  <c r="P105" i="7"/>
  <c r="B104" i="6"/>
  <c r="O22" i="6"/>
  <c r="O21" i="5"/>
  <c r="B22" i="5"/>
  <c r="P102" i="4"/>
  <c r="O21" i="4"/>
  <c r="P102" i="3"/>
  <c r="M18" i="24"/>
  <c r="N18" i="24"/>
  <c r="O18" i="24" s="1"/>
  <c r="B100" i="24"/>
  <c r="N99" i="24"/>
  <c r="O99" i="24" s="1"/>
  <c r="L99" i="24"/>
  <c r="M99" i="24" s="1"/>
  <c r="J99" i="24"/>
  <c r="D8" i="23"/>
  <c r="D90" i="23" s="1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 s="1"/>
  <c r="P106" i="10"/>
  <c r="B107" i="10"/>
  <c r="B26" i="10"/>
  <c r="B24" i="8"/>
  <c r="B107" i="7"/>
  <c r="B26" i="7"/>
  <c r="B24" i="6"/>
  <c r="B104" i="4"/>
  <c r="N22" i="3"/>
  <c r="O22" i="3" s="1"/>
  <c r="C45" i="31"/>
  <c r="C46" i="3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E13" i="17"/>
  <c r="H3" i="17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B100" i="29"/>
  <c r="B19" i="29"/>
  <c r="O18" i="28"/>
  <c r="P101" i="24"/>
  <c r="O21" i="23"/>
  <c r="P102" i="23"/>
  <c r="O22" i="22"/>
  <c r="P106" i="11"/>
  <c r="O25" i="11"/>
  <c r="B108" i="10"/>
  <c r="O26" i="10"/>
  <c r="B26" i="9"/>
  <c r="P105" i="8"/>
  <c r="P107" i="7"/>
  <c r="O26" i="7"/>
  <c r="B27" i="7"/>
  <c r="B106" i="6"/>
  <c r="O24" i="6"/>
  <c r="O23" i="5"/>
  <c r="P104" i="4"/>
  <c r="O23" i="4"/>
  <c r="B24" i="4"/>
  <c r="B105" i="3"/>
  <c r="O23" i="3"/>
  <c r="K18" i="27"/>
  <c r="B103" i="23"/>
  <c r="B100" i="27"/>
  <c r="B19" i="27"/>
  <c r="L18" i="27"/>
  <c r="I18" i="27"/>
  <c r="M18" i="27"/>
  <c r="N18" i="27"/>
  <c r="I19" i="27"/>
  <c r="B101" i="27"/>
  <c r="J100" i="27"/>
  <c r="B100" i="28"/>
  <c r="B18" i="30"/>
  <c r="J94" i="23"/>
  <c r="J94" i="5"/>
  <c r="J95" i="5"/>
  <c r="J94" i="8"/>
  <c r="J95" i="8" s="1"/>
  <c r="J94" i="7"/>
  <c r="J95" i="7" s="1"/>
  <c r="J94" i="9"/>
  <c r="J95" i="9" s="1"/>
  <c r="J94" i="31"/>
  <c r="J95" i="31" s="1"/>
  <c r="J94" i="27"/>
  <c r="J95" i="27" s="1"/>
  <c r="J94" i="4"/>
  <c r="J95" i="4" s="1"/>
  <c r="C77" i="2"/>
  <c r="P99" i="31"/>
  <c r="B100" i="31"/>
  <c r="C82" i="2"/>
  <c r="C62" i="2"/>
  <c r="C56" i="2"/>
  <c r="A4" i="2"/>
  <c r="M19" i="2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B28" i="7"/>
  <c r="I12" i="9"/>
  <c r="I13" i="9" s="1"/>
  <c r="I12" i="24"/>
  <c r="I13" i="24" s="1"/>
  <c r="I12" i="6"/>
  <c r="I13" i="6" s="1"/>
  <c r="I12" i="25"/>
  <c r="I13" i="25" s="1"/>
  <c r="P118" i="10"/>
  <c r="P119" i="22"/>
  <c r="P129" i="28"/>
  <c r="P111" i="30"/>
  <c r="P99" i="30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8" i="13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P113" i="37"/>
  <c r="O17" i="37"/>
  <c r="J94" i="39"/>
  <c r="J95" i="39"/>
  <c r="J94" i="38"/>
  <c r="J95" i="38" s="1"/>
  <c r="J94" i="6"/>
  <c r="J95" i="6"/>
  <c r="J94" i="29"/>
  <c r="J95" i="29" s="1"/>
  <c r="J94" i="3"/>
  <c r="J95" i="3" s="1"/>
  <c r="J94" i="24"/>
  <c r="J95" i="24" s="1"/>
  <c r="J94" i="28"/>
  <c r="J95" i="28"/>
  <c r="J94" i="13"/>
  <c r="J95" i="13" s="1"/>
  <c r="J94" i="30"/>
  <c r="J95" i="30" s="1"/>
  <c r="J94" i="11"/>
  <c r="J95" i="11" s="1"/>
  <c r="J94" i="10"/>
  <c r="J95" i="10" s="1"/>
  <c r="J94" i="25"/>
  <c r="J95" i="25" s="1"/>
  <c r="J94" i="22"/>
  <c r="P104" i="30"/>
  <c r="P122" i="30"/>
  <c r="P124" i="30"/>
  <c r="P126" i="30"/>
  <c r="P128" i="30"/>
  <c r="P130" i="30"/>
  <c r="P125" i="8"/>
  <c r="P126" i="10"/>
  <c r="P129" i="23"/>
  <c r="P123" i="23"/>
  <c r="P106" i="23"/>
  <c r="J94" i="40"/>
  <c r="J95" i="40" s="1"/>
  <c r="P108" i="27"/>
  <c r="P119" i="7"/>
  <c r="P130" i="9"/>
  <c r="P115" i="24"/>
  <c r="J94" i="37"/>
  <c r="J95" i="37"/>
  <c r="F48" i="2"/>
  <c r="F52" i="2" s="1"/>
  <c r="D107" i="3"/>
  <c r="P149" i="4"/>
  <c r="P127" i="4"/>
  <c r="P123" i="4"/>
  <c r="P119" i="4"/>
  <c r="P118" i="5"/>
  <c r="P108" i="5"/>
  <c r="P107" i="3"/>
  <c r="P123" i="24"/>
  <c r="P123" i="27"/>
  <c r="P120" i="5"/>
  <c r="P103" i="29"/>
  <c r="C14" i="2"/>
  <c r="C22" i="2"/>
  <c r="C10" i="2"/>
  <c r="C80" i="2"/>
  <c r="C28" i="2"/>
  <c r="C61" i="2"/>
  <c r="C73" i="2"/>
  <c r="C76" i="2"/>
  <c r="C59" i="2"/>
  <c r="C50" i="2"/>
  <c r="J92" i="4"/>
  <c r="L86" i="4" s="1"/>
  <c r="J92" i="8"/>
  <c r="N87" i="8" s="1"/>
  <c r="J92" i="22"/>
  <c r="L86" i="22" s="1"/>
  <c r="J92" i="27"/>
  <c r="J92" i="31"/>
  <c r="N87" i="31" s="1"/>
  <c r="J92" i="40"/>
  <c r="L86" i="40" s="1"/>
  <c r="J92" i="5"/>
  <c r="L86" i="5" s="1"/>
  <c r="J92" i="9"/>
  <c r="M87" i="9" s="1"/>
  <c r="J92" i="23"/>
  <c r="M87" i="23"/>
  <c r="J92" i="28"/>
  <c r="J92" i="37"/>
  <c r="M87" i="37" s="1"/>
  <c r="B23" i="24"/>
  <c r="D103" i="27"/>
  <c r="L86" i="9"/>
  <c r="D101" i="30"/>
  <c r="B101" i="30"/>
  <c r="D110" i="10"/>
  <c r="D105" i="23"/>
  <c r="D107" i="5"/>
  <c r="D110" i="7"/>
  <c r="D109" i="9"/>
  <c r="D104" i="24"/>
  <c r="B104" i="24" s="1"/>
  <c r="D108" i="8"/>
  <c r="B108" i="8"/>
  <c r="B21" i="31"/>
  <c r="B25" i="25"/>
  <c r="B107" i="5"/>
  <c r="D102" i="28"/>
  <c r="B102" i="28"/>
  <c r="D102" i="29"/>
  <c r="B102" i="29"/>
  <c r="D107" i="4"/>
  <c r="D106" i="25"/>
  <c r="B106" i="25"/>
  <c r="D106" i="22"/>
  <c r="D102" i="31"/>
  <c r="B102" i="31" s="1"/>
  <c r="D109" i="11"/>
  <c r="D108" i="6"/>
  <c r="B108" i="6" s="1"/>
  <c r="B26" i="4"/>
  <c r="B28" i="11"/>
  <c r="B29" i="10"/>
  <c r="B21" i="29"/>
  <c r="B21" i="27"/>
  <c r="B20" i="30"/>
  <c r="B25" i="22"/>
  <c r="B27" i="8"/>
  <c r="B107" i="4"/>
  <c r="B26" i="3"/>
  <c r="I17" i="39"/>
  <c r="B18" i="37"/>
  <c r="I25" i="3"/>
  <c r="I17" i="37"/>
  <c r="B28" i="9"/>
  <c r="B29" i="7"/>
  <c r="B24" i="23"/>
  <c r="B26" i="5"/>
  <c r="B27" i="6"/>
  <c r="I17" i="38"/>
  <c r="B18" i="39"/>
  <c r="O17" i="39"/>
  <c r="O17" i="38"/>
  <c r="P113" i="31"/>
  <c r="P127" i="31"/>
  <c r="P102" i="31"/>
  <c r="P118" i="31"/>
  <c r="P108" i="31"/>
  <c r="P108" i="30"/>
  <c r="P116" i="30"/>
  <c r="P112" i="30"/>
  <c r="P127" i="30"/>
  <c r="P128" i="29"/>
  <c r="P125" i="29"/>
  <c r="P121" i="29"/>
  <c r="P113" i="29"/>
  <c r="P103" i="28"/>
  <c r="P105" i="28"/>
  <c r="P104" i="28"/>
  <c r="P117" i="28"/>
  <c r="P119" i="28"/>
  <c r="P109" i="28"/>
  <c r="P107" i="28"/>
  <c r="B21" i="28"/>
  <c r="P104" i="27"/>
  <c r="P125" i="27"/>
  <c r="P129" i="27"/>
  <c r="P117" i="27"/>
  <c r="P112" i="25"/>
  <c r="P126" i="25"/>
  <c r="P119" i="25"/>
  <c r="P127" i="24"/>
  <c r="P117" i="23"/>
  <c r="B105" i="23"/>
  <c r="P107" i="22"/>
  <c r="P130" i="22"/>
  <c r="P126" i="22"/>
  <c r="P124" i="11"/>
  <c r="P115" i="10"/>
  <c r="P142" i="10"/>
  <c r="P124" i="10"/>
  <c r="P113" i="10"/>
  <c r="P111" i="10"/>
  <c r="P150" i="10"/>
  <c r="P136" i="10"/>
  <c r="P127" i="10"/>
  <c r="P154" i="10"/>
  <c r="P122" i="10"/>
  <c r="P128" i="9"/>
  <c r="P126" i="9"/>
  <c r="P124" i="9"/>
  <c r="P122" i="9"/>
  <c r="P120" i="9"/>
  <c r="P116" i="9"/>
  <c r="P112" i="9"/>
  <c r="P127" i="9"/>
  <c r="P123" i="9"/>
  <c r="P119" i="9"/>
  <c r="P113" i="9"/>
  <c r="P132" i="8"/>
  <c r="P130" i="8"/>
  <c r="P154" i="7"/>
  <c r="P138" i="7"/>
  <c r="P131" i="7"/>
  <c r="P129" i="7"/>
  <c r="P115" i="7"/>
  <c r="P143" i="7"/>
  <c r="P141" i="7"/>
  <c r="P149" i="7"/>
  <c r="P140" i="7"/>
  <c r="P134" i="7"/>
  <c r="P124" i="7"/>
  <c r="P122" i="7"/>
  <c r="P120" i="7"/>
  <c r="B110" i="7"/>
  <c r="P116" i="7"/>
  <c r="P154" i="6"/>
  <c r="P150" i="6"/>
  <c r="P142" i="6"/>
  <c r="P138" i="6"/>
  <c r="P134" i="6"/>
  <c r="P132" i="6"/>
  <c r="P147" i="6"/>
  <c r="P145" i="6"/>
  <c r="P143" i="6"/>
  <c r="P141" i="6"/>
  <c r="P139" i="6"/>
  <c r="P137" i="6"/>
  <c r="P135" i="6"/>
  <c r="P133" i="6"/>
  <c r="P131" i="6"/>
  <c r="P129" i="6"/>
  <c r="P121" i="6"/>
  <c r="P114" i="6"/>
  <c r="P108" i="6"/>
  <c r="P153" i="6"/>
  <c r="P125" i="6"/>
  <c r="P119" i="6"/>
  <c r="P115" i="6"/>
  <c r="P111" i="6"/>
  <c r="P130" i="6"/>
  <c r="P112" i="6"/>
  <c r="P152" i="6"/>
  <c r="P110" i="6"/>
  <c r="P151" i="6"/>
  <c r="P149" i="6"/>
  <c r="P146" i="6"/>
  <c r="P127" i="6"/>
  <c r="P116" i="6"/>
  <c r="P123" i="6"/>
  <c r="P134" i="5"/>
  <c r="P116" i="5"/>
  <c r="P114" i="5"/>
  <c r="P112" i="5"/>
  <c r="P124" i="5"/>
  <c r="P132" i="5"/>
  <c r="P154" i="5"/>
  <c r="P145" i="5"/>
  <c r="P127" i="5"/>
  <c r="P122" i="5"/>
  <c r="P130" i="4"/>
  <c r="P111" i="4"/>
  <c r="P110" i="4"/>
  <c r="P152" i="3"/>
  <c r="P108" i="3"/>
  <c r="B107" i="3"/>
  <c r="P138" i="3"/>
  <c r="P119" i="3"/>
  <c r="P115" i="3"/>
  <c r="P133" i="3"/>
  <c r="P126" i="3"/>
  <c r="P120" i="3"/>
  <c r="C45" i="43"/>
  <c r="C46" i="43" s="1"/>
  <c r="C47" i="43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8" i="42"/>
  <c r="C19" i="42"/>
  <c r="C20" i="42" s="1"/>
  <c r="C21" i="42" s="1"/>
  <c r="C22" i="42" s="1"/>
  <c r="C23" i="42" s="1"/>
  <c r="C24" i="42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45" i="42" s="1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C45" i="41"/>
  <c r="C46" i="41" s="1"/>
  <c r="C47" i="41" s="1"/>
  <c r="C48" i="41" s="1"/>
  <c r="C49" i="41" s="1"/>
  <c r="C50" i="41" s="1"/>
  <c r="C51" i="41" s="1"/>
  <c r="C52" i="4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B18" i="38"/>
  <c r="I12" i="41"/>
  <c r="I13" i="41" s="1"/>
  <c r="I12" i="42"/>
  <c r="I13" i="42" s="1"/>
  <c r="I12" i="11"/>
  <c r="I13" i="11" s="1"/>
  <c r="I12" i="23"/>
  <c r="I13" i="23" s="1"/>
  <c r="I12" i="8"/>
  <c r="I13" i="8" s="1"/>
  <c r="I12" i="38"/>
  <c r="I13" i="38" s="1"/>
  <c r="I12" i="7"/>
  <c r="I13" i="7" s="1"/>
  <c r="I12" i="37"/>
  <c r="I13" i="37" s="1"/>
  <c r="I12" i="4"/>
  <c r="I13" i="4" s="1"/>
  <c r="I12" i="29"/>
  <c r="I13" i="29" s="1"/>
  <c r="O37" i="24"/>
  <c r="O66" i="40"/>
  <c r="O49" i="13"/>
  <c r="O24" i="31"/>
  <c r="P111" i="41"/>
  <c r="O35" i="7"/>
  <c r="O43" i="22"/>
  <c r="O47" i="27"/>
  <c r="O61" i="27"/>
  <c r="O60" i="31"/>
  <c r="O69" i="37"/>
  <c r="O52" i="40"/>
  <c r="P109" i="37"/>
  <c r="O40" i="39"/>
  <c r="P125" i="43"/>
  <c r="O71" i="29"/>
  <c r="O26" i="43"/>
  <c r="O59" i="13"/>
  <c r="O28" i="6"/>
  <c r="P117" i="13"/>
  <c r="O56" i="28"/>
  <c r="O33" i="38"/>
  <c r="O59" i="39"/>
  <c r="P115" i="40"/>
  <c r="O68" i="37"/>
  <c r="P106" i="40"/>
  <c r="O28" i="43"/>
  <c r="P99" i="43"/>
  <c r="C8" i="1"/>
  <c r="C76" i="1"/>
  <c r="C10" i="1"/>
  <c r="C79" i="1"/>
  <c r="C82" i="1"/>
  <c r="C28" i="1"/>
  <c r="C22" i="1"/>
  <c r="C77" i="1"/>
  <c r="C59" i="1"/>
  <c r="D18" i="13"/>
  <c r="B18" i="13" s="1"/>
  <c r="O32" i="31"/>
  <c r="P105" i="37"/>
  <c r="P103" i="39"/>
  <c r="O44" i="43"/>
  <c r="O34" i="10"/>
  <c r="O31" i="24"/>
  <c r="O66" i="27"/>
  <c r="O61" i="38"/>
  <c r="D29" i="9"/>
  <c r="D26" i="22"/>
  <c r="D30" i="7"/>
  <c r="B30" i="7" s="1"/>
  <c r="D18" i="40"/>
  <c r="B18" i="40"/>
  <c r="D27" i="4"/>
  <c r="D18" i="43"/>
  <c r="B18" i="43"/>
  <c r="D27" i="5"/>
  <c r="D28" i="6"/>
  <c r="B28" i="6" s="1"/>
  <c r="D22" i="31"/>
  <c r="B22" i="31"/>
  <c r="D22" i="28"/>
  <c r="B22" i="28" s="1"/>
  <c r="I21" i="31"/>
  <c r="M17" i="43"/>
  <c r="N17" i="43"/>
  <c r="O17" i="43" s="1"/>
  <c r="I21" i="28"/>
  <c r="B29" i="9"/>
  <c r="I26" i="5"/>
  <c r="K17" i="43"/>
  <c r="L17" i="43"/>
  <c r="I17" i="43"/>
  <c r="D19" i="39"/>
  <c r="B19" i="39" s="1"/>
  <c r="D29" i="11"/>
  <c r="I25" i="22"/>
  <c r="B22" i="27"/>
  <c r="I17" i="40"/>
  <c r="P119" i="13"/>
  <c r="I26" i="4"/>
  <c r="I28" i="9"/>
  <c r="I29" i="7"/>
  <c r="I27" i="6"/>
  <c r="I28" i="11"/>
  <c r="I18" i="39"/>
  <c r="I22" i="27"/>
  <c r="D19" i="38"/>
  <c r="B19" i="38" s="1"/>
  <c r="D18" i="42"/>
  <c r="B18" i="42" s="1"/>
  <c r="D26" i="25"/>
  <c r="B26" i="25" s="1"/>
  <c r="D21" i="30"/>
  <c r="B21" i="30"/>
  <c r="D30" i="10"/>
  <c r="D27" i="3"/>
  <c r="B27" i="3"/>
  <c r="D28" i="8"/>
  <c r="D22" i="29"/>
  <c r="B22" i="29" s="1"/>
  <c r="D24" i="24"/>
  <c r="D25" i="23"/>
  <c r="B25" i="23" s="1"/>
  <c r="I18" i="38"/>
  <c r="D18" i="41"/>
  <c r="D19" i="37"/>
  <c r="B19" i="37" s="1"/>
  <c r="I24" i="23"/>
  <c r="I23" i="24"/>
  <c r="I29" i="10"/>
  <c r="I25" i="25"/>
  <c r="K17" i="42"/>
  <c r="L17" i="42" s="1"/>
  <c r="K17" i="41"/>
  <c r="L17" i="41" s="1"/>
  <c r="I18" i="37"/>
  <c r="M17" i="41"/>
  <c r="N17" i="41"/>
  <c r="I17" i="41"/>
  <c r="I27" i="8"/>
  <c r="I17" i="42"/>
  <c r="M17" i="42"/>
  <c r="N17" i="42" s="1"/>
  <c r="O17" i="42" s="1"/>
  <c r="I21" i="29"/>
  <c r="B30" i="10"/>
  <c r="I20" i="30"/>
  <c r="P106" i="42"/>
  <c r="P114" i="42"/>
  <c r="P118" i="42"/>
  <c r="O35" i="42"/>
  <c r="P110" i="42"/>
  <c r="O39" i="42"/>
  <c r="P117" i="41"/>
  <c r="P119" i="41"/>
  <c r="P121" i="41"/>
  <c r="P129" i="41"/>
  <c r="O57" i="41"/>
  <c r="O71" i="41"/>
  <c r="P105" i="41"/>
  <c r="P109" i="41"/>
  <c r="P111" i="38"/>
  <c r="P116" i="38"/>
  <c r="C45" i="24"/>
  <c r="C46" i="24" s="1"/>
  <c r="C47" i="24" s="1"/>
  <c r="C48" i="24"/>
  <c r="C49" i="24" s="1"/>
  <c r="C50" i="24" s="1"/>
  <c r="C51" i="24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M88" i="41"/>
  <c r="L86" i="41"/>
  <c r="N88" i="41"/>
  <c r="N87" i="41"/>
  <c r="M87" i="41"/>
  <c r="N87" i="5"/>
  <c r="L86" i="37"/>
  <c r="J92" i="7"/>
  <c r="M87" i="7" s="1"/>
  <c r="J92" i="24"/>
  <c r="L86" i="24" s="1"/>
  <c r="J92" i="30"/>
  <c r="N87" i="30" s="1"/>
  <c r="P116" i="39"/>
  <c r="P104" i="13"/>
  <c r="P106" i="37"/>
  <c r="P112" i="38"/>
  <c r="P102" i="39"/>
  <c r="P112" i="40"/>
  <c r="P107" i="41"/>
  <c r="P106" i="13"/>
  <c r="P127" i="37"/>
  <c r="P115" i="41"/>
  <c r="P130" i="42"/>
  <c r="O36" i="43"/>
  <c r="O50" i="43"/>
  <c r="O22" i="43"/>
  <c r="O32" i="43"/>
  <c r="O64" i="43"/>
  <c r="O68" i="43"/>
  <c r="O40" i="43"/>
  <c r="O46" i="43"/>
  <c r="O54" i="43"/>
  <c r="O18" i="43"/>
  <c r="O38" i="43"/>
  <c r="O53" i="42"/>
  <c r="O19" i="42"/>
  <c r="O23" i="42"/>
  <c r="O25" i="42"/>
  <c r="O29" i="42"/>
  <c r="O31" i="42"/>
  <c r="O58" i="42"/>
  <c r="O45" i="42"/>
  <c r="O60" i="42"/>
  <c r="O62" i="42"/>
  <c r="O21" i="42"/>
  <c r="O33" i="42"/>
  <c r="O37" i="42"/>
  <c r="O55" i="42"/>
  <c r="O68" i="42"/>
  <c r="O18" i="41"/>
  <c r="O20" i="41"/>
  <c r="O22" i="41"/>
  <c r="O53" i="41"/>
  <c r="O69" i="41"/>
  <c r="O17" i="40"/>
  <c r="O45" i="40"/>
  <c r="O47" i="40"/>
  <c r="O49" i="40"/>
  <c r="O53" i="40"/>
  <c r="O55" i="40"/>
  <c r="O44" i="40"/>
  <c r="O56" i="40"/>
  <c r="O64" i="42"/>
  <c r="O43" i="42"/>
  <c r="O63" i="41"/>
  <c r="B18" i="41"/>
  <c r="O18" i="39"/>
  <c r="O31" i="39"/>
  <c r="O35" i="39"/>
  <c r="O37" i="39"/>
  <c r="O52" i="39"/>
  <c r="O65" i="39"/>
  <c r="O20" i="39"/>
  <c r="O22" i="39"/>
  <c r="O71" i="39"/>
  <c r="O42" i="39"/>
  <c r="O57" i="39"/>
  <c r="O46" i="39"/>
  <c r="O50" i="39"/>
  <c r="O70" i="39"/>
  <c r="O62" i="39"/>
  <c r="O38" i="39"/>
  <c r="O66" i="39"/>
  <c r="O18" i="38"/>
  <c r="O23" i="38"/>
  <c r="O26" i="38"/>
  <c r="O28" i="38"/>
  <c r="O30" i="38"/>
  <c r="O32" i="38"/>
  <c r="O36" i="38"/>
  <c r="O46" i="38"/>
  <c r="O56" i="38"/>
  <c r="O60" i="38"/>
  <c r="O62" i="38"/>
  <c r="O37" i="38"/>
  <c r="O42" i="38"/>
  <c r="O50" i="38"/>
  <c r="O52" i="38"/>
  <c r="O58" i="38"/>
  <c r="O18" i="37"/>
  <c r="O24" i="37"/>
  <c r="O71" i="37"/>
  <c r="O33" i="37"/>
  <c r="O41" i="37"/>
  <c r="O56" i="37"/>
  <c r="O62" i="37"/>
  <c r="O64" i="37"/>
  <c r="O37" i="37"/>
  <c r="O43" i="37"/>
  <c r="O29" i="37"/>
  <c r="O55" i="37"/>
  <c r="O21" i="31"/>
  <c r="O48" i="31"/>
  <c r="O52" i="31"/>
  <c r="O54" i="31"/>
  <c r="O28" i="31"/>
  <c r="O64" i="31"/>
  <c r="O66" i="31"/>
  <c r="O40" i="31"/>
  <c r="O42" i="31"/>
  <c r="O20" i="30"/>
  <c r="O43" i="30"/>
  <c r="O45" i="30"/>
  <c r="O47" i="30"/>
  <c r="O49" i="30"/>
  <c r="O23" i="30"/>
  <c r="O29" i="30"/>
  <c r="O35" i="30"/>
  <c r="O39" i="30"/>
  <c r="O53" i="30"/>
  <c r="O27" i="28"/>
  <c r="O29" i="28"/>
  <c r="O31" i="28"/>
  <c r="O54" i="28"/>
  <c r="O58" i="28"/>
  <c r="O34" i="28"/>
  <c r="O53" i="28"/>
  <c r="O55" i="28"/>
  <c r="O57" i="28"/>
  <c r="O46" i="28"/>
  <c r="O52" i="27"/>
  <c r="O64" i="27"/>
  <c r="O23" i="27"/>
  <c r="O29" i="27"/>
  <c r="O31" i="27"/>
  <c r="O54" i="27"/>
  <c r="O56" i="27"/>
  <c r="O58" i="27"/>
  <c r="O44" i="25"/>
  <c r="O30" i="25"/>
  <c r="O28" i="25"/>
  <c r="O62" i="25"/>
  <c r="O51" i="25"/>
  <c r="O38" i="25"/>
  <c r="O35" i="24"/>
  <c r="O29" i="24"/>
  <c r="O71" i="24"/>
  <c r="O55" i="24"/>
  <c r="O63" i="24"/>
  <c r="O61" i="24"/>
  <c r="O66" i="23"/>
  <c r="O71" i="22"/>
  <c r="O58" i="22"/>
  <c r="O57" i="22"/>
  <c r="O53" i="22"/>
  <c r="O41" i="22"/>
  <c r="B26" i="22"/>
  <c r="O59" i="11"/>
  <c r="O57" i="11"/>
  <c r="B29" i="11"/>
  <c r="O68" i="10"/>
  <c r="O42" i="10"/>
  <c r="O28" i="9"/>
  <c r="O56" i="9"/>
  <c r="O54" i="9"/>
  <c r="O39" i="8"/>
  <c r="O28" i="8"/>
  <c r="O37" i="5"/>
  <c r="O71" i="4"/>
  <c r="B27" i="4"/>
  <c r="O68" i="3"/>
  <c r="O60" i="3"/>
  <c r="L86" i="30"/>
  <c r="M87" i="30"/>
  <c r="M87" i="24"/>
  <c r="N87" i="7"/>
  <c r="O87" i="7" s="1"/>
  <c r="L86" i="7"/>
  <c r="B27" i="5"/>
  <c r="B24" i="24"/>
  <c r="C128" i="13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45" i="13"/>
  <c r="C46" i="13" s="1"/>
  <c r="C47" i="13"/>
  <c r="C48" i="13" s="1"/>
  <c r="C49" i="13" s="1"/>
  <c r="C50" i="13" s="1"/>
  <c r="C51" i="13" s="1"/>
  <c r="C52" i="13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B110" i="10"/>
  <c r="J95" i="23"/>
  <c r="C127" i="28"/>
  <c r="C128" i="28"/>
  <c r="C129" i="28" s="1"/>
  <c r="C130" i="28"/>
  <c r="C131" i="28" s="1"/>
  <c r="C132" i="28" s="1"/>
  <c r="C133" i="28" s="1"/>
  <c r="C134" i="28" s="1"/>
  <c r="C135" i="28" s="1"/>
  <c r="C136" i="28" s="1"/>
  <c r="C137" i="28" s="1"/>
  <c r="C138" i="28"/>
  <c r="C139" i="28" s="1"/>
  <c r="C140" i="28" s="1"/>
  <c r="C141" i="28" s="1"/>
  <c r="C142" i="28" s="1"/>
  <c r="C143" i="28" s="1"/>
  <c r="C144" i="28" s="1"/>
  <c r="C145" i="28" s="1"/>
  <c r="C146" i="28"/>
  <c r="C147" i="28" s="1"/>
  <c r="C148" i="28" s="1"/>
  <c r="C149" i="28" s="1"/>
  <c r="C150" i="28" s="1"/>
  <c r="C151" i="28" s="1"/>
  <c r="C152" i="28" s="1"/>
  <c r="C153" i="28" s="1"/>
  <c r="C154" i="28"/>
  <c r="C45" i="11"/>
  <c r="C46" i="1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10"/>
  <c r="C46" i="10"/>
  <c r="C47" i="10" s="1"/>
  <c r="C48" i="10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45" i="3"/>
  <c r="C46" i="3"/>
  <c r="C47" i="3" s="1"/>
  <c r="C48" i="3" s="1"/>
  <c r="C49" i="3" s="1"/>
  <c r="C50" i="3" s="1"/>
  <c r="C51" i="3" s="1"/>
  <c r="C52" i="3"/>
  <c r="C53" i="3" s="1"/>
  <c r="C54" i="3" s="1"/>
  <c r="C55" i="3" s="1"/>
  <c r="C56" i="3" s="1"/>
  <c r="C57" i="3" s="1"/>
  <c r="C58" i="3" s="1"/>
  <c r="C59" i="3" s="1"/>
  <c r="C60" i="3"/>
  <c r="C61" i="3" s="1"/>
  <c r="C62" i="3" s="1"/>
  <c r="C63" i="3" s="1"/>
  <c r="C64" i="3" s="1"/>
  <c r="C65" i="3" s="1"/>
  <c r="C66" i="3" s="1"/>
  <c r="C67" i="3" s="1"/>
  <c r="C68" i="3"/>
  <c r="C69" i="3" s="1"/>
  <c r="C70" i="3" s="1"/>
  <c r="C71" i="3" s="1"/>
  <c r="C72" i="3" s="1"/>
  <c r="C45" i="25"/>
  <c r="C46" i="25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C45" i="28"/>
  <c r="C46" i="28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45" i="29"/>
  <c r="C46" i="29" s="1"/>
  <c r="C47" i="29" s="1"/>
  <c r="C48" i="29" s="1"/>
  <c r="C49" i="29" s="1"/>
  <c r="C50" i="29" s="1"/>
  <c r="C51" i="29" s="1"/>
  <c r="C52" i="29" s="1"/>
  <c r="C53" i="29"/>
  <c r="C54" i="29" s="1"/>
  <c r="C55" i="29" s="1"/>
  <c r="C56" i="29" s="1"/>
  <c r="C57" i="29" s="1"/>
  <c r="C58" i="29" s="1"/>
  <c r="C59" i="29" s="1"/>
  <c r="C60" i="29" s="1"/>
  <c r="C61" i="29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45" i="37"/>
  <c r="C46" i="37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N87" i="23"/>
  <c r="O87" i="23" s="1"/>
  <c r="L86" i="23"/>
  <c r="M87" i="8"/>
  <c r="L86" i="8"/>
  <c r="J95" i="22"/>
  <c r="C45" i="27"/>
  <c r="C46" i="27" s="1"/>
  <c r="C47" i="27"/>
  <c r="C48" i="27" s="1"/>
  <c r="C49" i="27" s="1"/>
  <c r="C50" i="27" s="1"/>
  <c r="C51" i="27" s="1"/>
  <c r="C52" i="27" s="1"/>
  <c r="C53" i="27" s="1"/>
  <c r="C54" i="27" s="1"/>
  <c r="C55" i="27"/>
  <c r="C56" i="27" s="1"/>
  <c r="C57" i="27" s="1"/>
  <c r="C58" i="27" s="1"/>
  <c r="C59" i="27" s="1"/>
  <c r="C60" i="27" s="1"/>
  <c r="C61" i="27" s="1"/>
  <c r="C62" i="27" s="1"/>
  <c r="C63" i="27"/>
  <c r="C64" i="27" s="1"/>
  <c r="C65" i="27" s="1"/>
  <c r="C66" i="27" s="1"/>
  <c r="C67" i="27" s="1"/>
  <c r="C68" i="27" s="1"/>
  <c r="C69" i="27" s="1"/>
  <c r="C70" i="27" s="1"/>
  <c r="C71" i="27"/>
  <c r="C72" i="27" s="1"/>
  <c r="B109" i="9"/>
  <c r="C45" i="9"/>
  <c r="C46" i="9"/>
  <c r="C47" i="9" s="1"/>
  <c r="C48" i="9" s="1"/>
  <c r="C49" i="9" s="1"/>
  <c r="C50" i="9" s="1"/>
  <c r="C51" i="9" s="1"/>
  <c r="C52" i="9" s="1"/>
  <c r="C53" i="9" s="1"/>
  <c r="C54" i="9"/>
  <c r="C55" i="9" s="1"/>
  <c r="C56" i="9" s="1"/>
  <c r="C57" i="9" s="1"/>
  <c r="C58" i="9" s="1"/>
  <c r="C59" i="9" s="1"/>
  <c r="C60" i="9" s="1"/>
  <c r="C61" i="9" s="1"/>
  <c r="C62" i="9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N87" i="9"/>
  <c r="B106" i="22"/>
  <c r="C45" i="4"/>
  <c r="C46" i="4"/>
  <c r="C47" i="4" s="1"/>
  <c r="C48" i="4" s="1"/>
  <c r="C49" i="4" s="1"/>
  <c r="C50" i="4" s="1"/>
  <c r="C51" i="4" s="1"/>
  <c r="C52" i="4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M87" i="4"/>
  <c r="N87" i="4"/>
  <c r="N87" i="22"/>
  <c r="P137" i="3"/>
  <c r="O18" i="3"/>
  <c r="P149" i="5"/>
  <c r="P114" i="7"/>
  <c r="P101" i="11"/>
  <c r="M87" i="31"/>
  <c r="O87" i="31" s="1"/>
  <c r="P123" i="13"/>
  <c r="P115" i="13"/>
  <c r="O24" i="8"/>
  <c r="P149" i="3"/>
  <c r="P143" i="3"/>
  <c r="P122" i="3"/>
  <c r="O66" i="4"/>
  <c r="P123" i="5"/>
  <c r="P102" i="7"/>
  <c r="P154" i="8"/>
  <c r="P99" i="11"/>
  <c r="P101" i="13"/>
  <c r="J94" i="44"/>
  <c r="J94" i="45"/>
  <c r="J95" i="45" s="1"/>
  <c r="J94" i="43"/>
  <c r="J95" i="43" s="1"/>
  <c r="J94" i="42"/>
  <c r="J95" i="42" s="1"/>
  <c r="J94" i="41"/>
  <c r="J95" i="41" s="1"/>
  <c r="O64" i="23"/>
  <c r="P117" i="24"/>
  <c r="O65" i="24"/>
  <c r="O59" i="24"/>
  <c r="O57" i="23"/>
  <c r="O39" i="23"/>
  <c r="O49" i="24"/>
  <c r="I12" i="45"/>
  <c r="G17" i="45" s="1"/>
  <c r="I13" i="45"/>
  <c r="H17" i="45" s="1"/>
  <c r="I12" i="44"/>
  <c r="I13" i="44" s="1"/>
  <c r="H17" i="44" s="1"/>
  <c r="O20" i="25"/>
  <c r="O39" i="28"/>
  <c r="P115" i="28"/>
  <c r="P103" i="3"/>
  <c r="P103" i="4"/>
  <c r="O21" i="22"/>
  <c r="O55" i="30"/>
  <c r="O59" i="31"/>
  <c r="O19" i="27"/>
  <c r="O30" i="28"/>
  <c r="O51" i="28"/>
  <c r="O65" i="28"/>
  <c r="O69" i="28"/>
  <c r="P112" i="28"/>
  <c r="P103" i="5"/>
  <c r="O23" i="8"/>
  <c r="O25" i="10"/>
  <c r="O19" i="24"/>
  <c r="P102" i="25"/>
  <c r="O27" i="30"/>
  <c r="O33" i="30"/>
  <c r="O63" i="30"/>
  <c r="O36" i="31"/>
  <c r="P106" i="9"/>
  <c r="O17" i="27"/>
  <c r="P105" i="11"/>
  <c r="O17" i="31"/>
  <c r="O18" i="29"/>
  <c r="P122" i="38"/>
  <c r="P122" i="39"/>
  <c r="P104" i="40"/>
  <c r="O25" i="8"/>
  <c r="P104" i="25"/>
  <c r="O35" i="37"/>
  <c r="O24" i="4"/>
  <c r="O26" i="11"/>
  <c r="O41" i="42"/>
  <c r="O60" i="43"/>
  <c r="P106" i="3"/>
  <c r="P106" i="5"/>
  <c r="P108" i="11"/>
  <c r="O22" i="24"/>
  <c r="O20" i="29"/>
  <c r="O21" i="28"/>
  <c r="P100" i="42"/>
  <c r="O66" i="43"/>
  <c r="O26" i="4"/>
  <c r="J92" i="45"/>
  <c r="L86" i="45" s="1"/>
  <c r="J92" i="44"/>
  <c r="N88" i="44" s="1"/>
  <c r="J92" i="43"/>
  <c r="J92" i="42"/>
  <c r="N87" i="42" s="1"/>
  <c r="J92" i="6"/>
  <c r="L86" i="6" s="1"/>
  <c r="O25" i="5"/>
  <c r="P107" i="6"/>
  <c r="P108" i="9"/>
  <c r="O24" i="22"/>
  <c r="P104" i="23"/>
  <c r="P101" i="28"/>
  <c r="O20" i="31"/>
  <c r="O26" i="5"/>
  <c r="O27" i="6"/>
  <c r="O21" i="29"/>
  <c r="O28" i="11"/>
  <c r="O25" i="25"/>
  <c r="G17" i="44"/>
  <c r="O66" i="45"/>
  <c r="C18" i="44"/>
  <c r="C19" i="44"/>
  <c r="C20" i="44" s="1"/>
  <c r="C21" i="44" s="1"/>
  <c r="C22" i="44" s="1"/>
  <c r="C23" i="44" s="1"/>
  <c r="C24" i="44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N87" i="43"/>
  <c r="M87" i="43"/>
  <c r="J95" i="44"/>
  <c r="M87" i="42"/>
  <c r="L86" i="42"/>
  <c r="O27" i="40"/>
  <c r="O45" i="27"/>
  <c r="O59" i="38"/>
  <c r="O63" i="38"/>
  <c r="P118" i="39"/>
  <c r="O35" i="41"/>
  <c r="O61" i="44"/>
  <c r="O44" i="45"/>
  <c r="O52" i="45"/>
  <c r="O23" i="40"/>
  <c r="O45" i="3"/>
  <c r="O45" i="5"/>
  <c r="O48" i="8"/>
  <c r="O26" i="25"/>
  <c r="O26" i="27"/>
  <c r="O43" i="41"/>
  <c r="P107" i="45"/>
  <c r="O71" i="28"/>
  <c r="O26" i="45"/>
  <c r="O30" i="45"/>
  <c r="O61" i="6"/>
  <c r="O55" i="6"/>
  <c r="O52" i="9"/>
  <c r="O71" i="11"/>
  <c r="P124" i="13"/>
  <c r="O49" i="29"/>
  <c r="O48" i="37"/>
  <c r="P121" i="37"/>
  <c r="P129" i="37"/>
  <c r="O21" i="38"/>
  <c r="O29" i="38"/>
  <c r="O58" i="39"/>
  <c r="P116" i="40"/>
  <c r="O57" i="6"/>
  <c r="O31" i="40"/>
  <c r="O45" i="23"/>
  <c r="P100" i="37"/>
  <c r="O34" i="40"/>
  <c r="O38" i="37"/>
  <c r="O62" i="3"/>
  <c r="O33" i="4"/>
  <c r="O29" i="4"/>
  <c r="O37" i="22"/>
  <c r="O66" i="24"/>
  <c r="O62" i="24"/>
  <c r="O58" i="43"/>
  <c r="O71" i="13"/>
  <c r="O34" i="13"/>
  <c r="O61" i="22"/>
  <c r="O41" i="28"/>
  <c r="O43" i="29"/>
  <c r="O48" i="30"/>
  <c r="O62" i="31"/>
  <c r="O70" i="31"/>
  <c r="O34" i="37"/>
  <c r="O40" i="38"/>
  <c r="O67" i="38"/>
  <c r="O21" i="39"/>
  <c r="O47" i="39"/>
  <c r="P125" i="39"/>
  <c r="O42" i="40"/>
  <c r="O59" i="41"/>
  <c r="O24" i="43"/>
  <c r="O21" i="44"/>
  <c r="O69" i="44"/>
  <c r="P100" i="44"/>
  <c r="O62" i="45"/>
  <c r="P111" i="45"/>
  <c r="P115" i="45"/>
  <c r="P119" i="45"/>
  <c r="O48" i="11"/>
  <c r="P112" i="13"/>
  <c r="O67" i="22"/>
  <c r="O48" i="23"/>
  <c r="O68" i="24"/>
  <c r="O53" i="24"/>
  <c r="O39" i="24"/>
  <c r="O50" i="25"/>
  <c r="O42" i="27"/>
  <c r="O37" i="29"/>
  <c r="O37" i="30"/>
  <c r="O67" i="31"/>
  <c r="O27" i="37"/>
  <c r="O59" i="37"/>
  <c r="P130" i="38"/>
  <c r="P101" i="39"/>
  <c r="P119" i="39"/>
  <c r="O20" i="40"/>
  <c r="O59" i="40"/>
  <c r="O55" i="13"/>
  <c r="P101" i="41"/>
  <c r="P113" i="41"/>
  <c r="O40" i="42"/>
  <c r="O51" i="44"/>
  <c r="O55" i="44"/>
  <c r="P101" i="45"/>
  <c r="P127" i="45"/>
  <c r="O62" i="23"/>
  <c r="O64" i="24"/>
  <c r="O67" i="25"/>
  <c r="O53" i="25"/>
  <c r="O49" i="25"/>
  <c r="O24" i="27"/>
  <c r="O35" i="27"/>
  <c r="O39" i="27"/>
  <c r="O51" i="27"/>
  <c r="O22" i="28"/>
  <c r="O59" i="28"/>
  <c r="O22" i="31"/>
  <c r="O44" i="31"/>
  <c r="O56" i="31"/>
  <c r="O49" i="37"/>
  <c r="P102" i="37"/>
  <c r="P123" i="37"/>
  <c r="O33" i="39"/>
  <c r="O41" i="39"/>
  <c r="O21" i="40"/>
  <c r="O29" i="40"/>
  <c r="O32" i="40"/>
  <c r="O40" i="40"/>
  <c r="O70" i="40"/>
  <c r="P128" i="40"/>
  <c r="P108" i="44"/>
  <c r="P119" i="44"/>
  <c r="O56" i="45"/>
  <c r="O60" i="45"/>
  <c r="P113" i="45"/>
  <c r="O63" i="22"/>
  <c r="O55" i="22"/>
  <c r="O67" i="24"/>
  <c r="O52" i="24"/>
  <c r="O59" i="29"/>
  <c r="O46" i="30"/>
  <c r="P120" i="37"/>
  <c r="O69" i="38"/>
  <c r="O45" i="39"/>
  <c r="O56" i="39"/>
  <c r="P125" i="41"/>
  <c r="O48" i="43"/>
  <c r="O23" i="44"/>
  <c r="O45" i="44"/>
  <c r="O72" i="9"/>
  <c r="O36" i="10"/>
  <c r="O72" i="13"/>
  <c r="O68" i="23"/>
  <c r="O42" i="23"/>
  <c r="O25" i="23"/>
  <c r="O48" i="25"/>
  <c r="O68" i="27"/>
  <c r="O39" i="29"/>
  <c r="O51" i="30"/>
  <c r="O38" i="31"/>
  <c r="O47" i="37"/>
  <c r="O47" i="38"/>
  <c r="P117" i="38"/>
  <c r="O68" i="39"/>
  <c r="O57" i="40"/>
  <c r="O45" i="41"/>
  <c r="O34" i="43"/>
  <c r="P103" i="43"/>
  <c r="L86" i="43"/>
  <c r="N88" i="43"/>
  <c r="M88" i="43"/>
  <c r="B28" i="8"/>
  <c r="N88" i="45"/>
  <c r="M87" i="27"/>
  <c r="B109" i="11"/>
  <c r="M87" i="22"/>
  <c r="P99" i="24"/>
  <c r="P141" i="5"/>
  <c r="P140" i="4"/>
  <c r="O17" i="5"/>
  <c r="B103" i="27"/>
  <c r="L86" i="31"/>
  <c r="P131" i="4"/>
  <c r="O18" i="27"/>
  <c r="P101" i="3"/>
  <c r="P153" i="5"/>
  <c r="O17" i="8"/>
  <c r="O18" i="10"/>
  <c r="P99" i="22"/>
  <c r="O20" i="10"/>
  <c r="P124" i="22"/>
  <c r="O69" i="25"/>
  <c r="O37" i="27"/>
  <c r="O44" i="23"/>
  <c r="P125" i="24"/>
  <c r="P121" i="24"/>
  <c r="O46" i="27"/>
  <c r="O43" i="27"/>
  <c r="O50" i="23"/>
  <c r="O27" i="23"/>
  <c r="O25" i="27"/>
  <c r="O55" i="27"/>
  <c r="O30" i="23"/>
  <c r="O52" i="25"/>
  <c r="P101" i="25"/>
  <c r="O23" i="9"/>
  <c r="P104" i="11"/>
  <c r="O33" i="28"/>
  <c r="P118" i="29"/>
  <c r="O22" i="4"/>
  <c r="P103" i="6"/>
  <c r="P99" i="25"/>
  <c r="O25" i="7"/>
  <c r="O67" i="28"/>
  <c r="O18" i="25"/>
  <c r="P104" i="8"/>
  <c r="O65" i="30"/>
  <c r="O25" i="9"/>
  <c r="O18" i="31"/>
  <c r="O50" i="40"/>
  <c r="O69" i="31"/>
  <c r="P104" i="5"/>
  <c r="O22" i="25"/>
  <c r="P99" i="29"/>
  <c r="O64" i="39"/>
  <c r="P110" i="39"/>
  <c r="O18" i="30"/>
  <c r="P100" i="31"/>
  <c r="P104" i="3"/>
  <c r="O21" i="24"/>
  <c r="O32" i="41"/>
  <c r="P103" i="25"/>
  <c r="P100" i="27"/>
  <c r="P103" i="22"/>
  <c r="O19" i="40"/>
  <c r="O61" i="40"/>
  <c r="P106" i="6"/>
  <c r="P106" i="8"/>
  <c r="O23" i="22"/>
  <c r="P101" i="27"/>
  <c r="J92" i="25"/>
  <c r="J92" i="11"/>
  <c r="N87" i="11" s="1"/>
  <c r="J92" i="39"/>
  <c r="J92" i="10"/>
  <c r="M87" i="10" s="1"/>
  <c r="J92" i="38"/>
  <c r="J92" i="3"/>
  <c r="L86" i="3" s="1"/>
  <c r="P126" i="42"/>
  <c r="O27" i="8"/>
  <c r="P128" i="44"/>
  <c r="O58" i="40"/>
  <c r="O52" i="41"/>
  <c r="O24" i="25"/>
  <c r="O24" i="23"/>
  <c r="O22" i="27"/>
  <c r="O72" i="43"/>
  <c r="P119" i="43"/>
  <c r="O19" i="28"/>
  <c r="O49" i="41"/>
  <c r="O28" i="10"/>
  <c r="O28" i="7"/>
  <c r="P105" i="25"/>
  <c r="O23" i="24"/>
  <c r="P112" i="44"/>
  <c r="O62" i="43"/>
  <c r="M87" i="11"/>
  <c r="M87" i="25"/>
  <c r="O63" i="3"/>
  <c r="O57" i="3"/>
  <c r="O55" i="3"/>
  <c r="O53" i="4"/>
  <c r="O43" i="4"/>
  <c r="O63" i="6"/>
  <c r="O34" i="6"/>
  <c r="O32" i="6"/>
  <c r="O72" i="7"/>
  <c r="O65" i="8"/>
  <c r="O52" i="8"/>
  <c r="O50" i="8"/>
  <c r="O38" i="8"/>
  <c r="O66" i="9"/>
  <c r="O69" i="10"/>
  <c r="O67" i="10"/>
  <c r="O65" i="10"/>
  <c r="O60" i="10"/>
  <c r="O58" i="10"/>
  <c r="O55" i="10"/>
  <c r="O53" i="10"/>
  <c r="O47" i="10"/>
  <c r="O43" i="10"/>
  <c r="O39" i="10"/>
  <c r="O53" i="11"/>
  <c r="O44" i="11"/>
  <c r="O34" i="23"/>
  <c r="O33" i="5"/>
  <c r="O57" i="8"/>
  <c r="O60" i="9"/>
  <c r="O58" i="9"/>
  <c r="O50" i="9"/>
  <c r="O72" i="10"/>
  <c r="O33" i="10"/>
  <c r="O31" i="10"/>
  <c r="O66" i="3"/>
  <c r="O62" i="4"/>
  <c r="O48" i="4"/>
  <c r="O34" i="4"/>
  <c r="O47" i="5"/>
  <c r="O43" i="5"/>
  <c r="O27" i="5"/>
  <c r="O45" i="6"/>
  <c r="O43" i="6"/>
  <c r="O50" i="7"/>
  <c r="O43" i="8"/>
  <c r="O41" i="8"/>
  <c r="O35" i="8"/>
  <c r="O33" i="8"/>
  <c r="O31" i="8"/>
  <c r="O33" i="9"/>
  <c r="O52" i="10"/>
  <c r="O46" i="10"/>
  <c r="O47" i="13"/>
  <c r="P111" i="13"/>
  <c r="O60" i="23"/>
  <c r="O26" i="23"/>
  <c r="O42" i="24"/>
  <c r="O36" i="24"/>
  <c r="O24" i="24"/>
  <c r="O65" i="25"/>
  <c r="O59" i="25"/>
  <c r="O57" i="25"/>
  <c r="O55" i="25"/>
  <c r="O42" i="25"/>
  <c r="O27" i="27"/>
  <c r="O60" i="27"/>
  <c r="O62" i="27"/>
  <c r="O44" i="28"/>
  <c r="O39" i="31"/>
  <c r="O65" i="31"/>
  <c r="O42" i="37"/>
  <c r="O28" i="40"/>
  <c r="O60" i="40"/>
  <c r="O25" i="44"/>
  <c r="O67" i="11"/>
  <c r="O63" i="11"/>
  <c r="O66" i="13"/>
  <c r="O33" i="27"/>
  <c r="O43" i="28"/>
  <c r="O62" i="28"/>
  <c r="O33" i="29"/>
  <c r="O67" i="29"/>
  <c r="O34" i="31"/>
  <c r="O46" i="31"/>
  <c r="O68" i="31"/>
  <c r="O21" i="37"/>
  <c r="P125" i="45"/>
  <c r="O50" i="10"/>
  <c r="O41" i="10"/>
  <c r="O38" i="10"/>
  <c r="O68" i="11"/>
  <c r="O64" i="11"/>
  <c r="O62" i="11"/>
  <c r="O34" i="11"/>
  <c r="O69" i="13"/>
  <c r="O67" i="13"/>
  <c r="O63" i="13"/>
  <c r="O30" i="13"/>
  <c r="O69" i="22"/>
  <c r="O65" i="22"/>
  <c r="O47" i="22"/>
  <c r="O30" i="22"/>
  <c r="O70" i="23"/>
  <c r="O54" i="23"/>
  <c r="O37" i="23"/>
  <c r="O32" i="23"/>
  <c r="O69" i="24"/>
  <c r="O56" i="24"/>
  <c r="O47" i="24"/>
  <c r="O45" i="24"/>
  <c r="O33" i="24"/>
  <c r="O27" i="24"/>
  <c r="O60" i="25"/>
  <c r="O58" i="25"/>
  <c r="O56" i="25"/>
  <c r="O54" i="25"/>
  <c r="O40" i="25"/>
  <c r="O36" i="25"/>
  <c r="O29" i="25"/>
  <c r="O30" i="27"/>
  <c r="O32" i="27"/>
  <c r="O34" i="27"/>
  <c r="O36" i="27"/>
  <c r="O38" i="27"/>
  <c r="O40" i="27"/>
  <c r="O44" i="27"/>
  <c r="O48" i="27"/>
  <c r="O57" i="27"/>
  <c r="O59" i="27"/>
  <c r="O63" i="27"/>
  <c r="O65" i="27"/>
  <c r="O28" i="28"/>
  <c r="O57" i="29"/>
  <c r="O69" i="30"/>
  <c r="O72" i="31"/>
  <c r="O40" i="37"/>
  <c r="O45" i="37"/>
  <c r="O54" i="37"/>
  <c r="P112" i="37"/>
  <c r="P114" i="37"/>
  <c r="O24" i="38"/>
  <c r="O39" i="38"/>
  <c r="O41" i="38"/>
  <c r="O54" i="38"/>
  <c r="O65" i="38"/>
  <c r="O19" i="39"/>
  <c r="O28" i="39"/>
  <c r="O30" i="39"/>
  <c r="O39" i="39"/>
  <c r="O43" i="39"/>
  <c r="P121" i="39"/>
  <c r="P130" i="39"/>
  <c r="O18" i="40"/>
  <c r="O26" i="40"/>
  <c r="O37" i="40"/>
  <c r="O48" i="40"/>
  <c r="O54" i="40"/>
  <c r="O65" i="40"/>
  <c r="P102" i="40"/>
  <c r="P110" i="40"/>
  <c r="P99" i="41"/>
  <c r="P103" i="41"/>
  <c r="O70" i="42"/>
  <c r="O72" i="42"/>
  <c r="O52" i="43"/>
  <c r="O70" i="43"/>
  <c r="P115" i="43"/>
  <c r="P117" i="43"/>
  <c r="P121" i="43"/>
  <c r="O41" i="44"/>
  <c r="P104" i="44"/>
  <c r="P106" i="44"/>
  <c r="P126" i="44"/>
  <c r="O22" i="45"/>
  <c r="O24" i="45"/>
  <c r="O48" i="45"/>
  <c r="O50" i="45"/>
  <c r="O54" i="45"/>
  <c r="O68" i="45"/>
  <c r="P121" i="45"/>
  <c r="P123" i="45"/>
  <c r="O20" i="43"/>
  <c r="O30" i="43"/>
  <c r="O27" i="44"/>
  <c r="O65" i="44"/>
  <c r="F14" i="1"/>
  <c r="E19" i="1" s="1"/>
  <c r="F19" i="1" s="1"/>
  <c r="O39" i="37"/>
  <c r="O52" i="37"/>
  <c r="P103" i="38"/>
  <c r="O26" i="39"/>
  <c r="O61" i="41"/>
  <c r="O65" i="41"/>
  <c r="O53" i="44"/>
  <c r="O71" i="44"/>
  <c r="O18" i="45"/>
  <c r="F18" i="1"/>
  <c r="F88" i="1"/>
  <c r="F89" i="1" s="1"/>
  <c r="F91" i="1" s="1"/>
  <c r="F92" i="1" s="1"/>
  <c r="F93" i="1" s="1"/>
  <c r="E18" i="13"/>
  <c r="F18" i="13" s="1"/>
  <c r="D19" i="13" s="1"/>
  <c r="E19" i="13" s="1"/>
  <c r="F19" i="13" s="1"/>
  <c r="O52" i="4"/>
  <c r="O50" i="4"/>
  <c r="O46" i="4"/>
  <c r="O44" i="4"/>
  <c r="O27" i="4"/>
  <c r="O44" i="5"/>
  <c r="O47" i="6"/>
  <c r="O40" i="6"/>
  <c r="O30" i="6"/>
  <c r="O56" i="7"/>
  <c r="O47" i="7"/>
  <c r="O57" i="9"/>
  <c r="O45" i="10"/>
  <c r="P120" i="13"/>
  <c r="O27" i="22"/>
  <c r="O31" i="25"/>
  <c r="O69" i="3"/>
  <c r="O29" i="5"/>
  <c r="O72" i="6"/>
  <c r="O67" i="8"/>
  <c r="O62" i="8"/>
  <c r="O51" i="3"/>
  <c r="O27" i="3"/>
  <c r="O36" i="4"/>
  <c r="O30" i="5"/>
  <c r="O59" i="6"/>
  <c r="O49" i="6"/>
  <c r="O44" i="6"/>
  <c r="O29" i="6"/>
  <c r="O43" i="7"/>
  <c r="O71" i="8"/>
  <c r="O64" i="8"/>
  <c r="O59" i="8"/>
  <c r="O63" i="9"/>
  <c r="O45" i="8"/>
  <c r="O62" i="9"/>
  <c r="O59" i="9"/>
  <c r="O51" i="10"/>
  <c r="O50" i="11"/>
  <c r="O62" i="10"/>
  <c r="O52" i="13"/>
  <c r="O43" i="13"/>
  <c r="O39" i="13"/>
  <c r="O29" i="22"/>
  <c r="O42" i="28"/>
  <c r="O49" i="28"/>
  <c r="O41" i="29"/>
  <c r="O45" i="29"/>
  <c r="O61" i="30"/>
  <c r="O45" i="31"/>
  <c r="O67" i="37"/>
  <c r="P111" i="37"/>
  <c r="P108" i="38"/>
  <c r="P129" i="43"/>
  <c r="O49" i="27"/>
  <c r="O57" i="37"/>
  <c r="P128" i="37"/>
  <c r="O38" i="38"/>
  <c r="O36" i="40"/>
  <c r="O38" i="40"/>
  <c r="O39" i="44"/>
  <c r="O27" i="38"/>
  <c r="O44" i="38"/>
  <c r="P105" i="38"/>
  <c r="P124" i="38"/>
  <c r="O60" i="39"/>
  <c r="P107" i="39"/>
  <c r="O24" i="40"/>
  <c r="O41" i="41"/>
  <c r="O47" i="41"/>
  <c r="P122" i="44"/>
  <c r="O32" i="45"/>
  <c r="P129" i="45"/>
  <c r="E54" i="17"/>
  <c r="D54" i="17"/>
  <c r="O54" i="17"/>
  <c r="F54" i="17"/>
  <c r="N54" i="17"/>
  <c r="I54" i="17"/>
  <c r="C54" i="17"/>
  <c r="O23" i="41" l="1"/>
  <c r="I10" i="38"/>
  <c r="D93" i="38" s="1"/>
  <c r="C99" i="38" s="1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I10" i="23"/>
  <c r="O49" i="3"/>
  <c r="O56" i="3"/>
  <c r="O36" i="9"/>
  <c r="O60" i="13"/>
  <c r="O56" i="13"/>
  <c r="O54" i="13"/>
  <c r="O37" i="13"/>
  <c r="O35" i="13"/>
  <c r="O33" i="13"/>
  <c r="O29" i="13"/>
  <c r="O23" i="13"/>
  <c r="O21" i="13"/>
  <c r="O19" i="13"/>
  <c r="O17" i="13"/>
  <c r="O63" i="25"/>
  <c r="O25" i="40"/>
  <c r="O43" i="40"/>
  <c r="O63" i="40"/>
  <c r="O67" i="40"/>
  <c r="O69" i="40"/>
  <c r="O71" i="40"/>
  <c r="O19" i="41"/>
  <c r="O21" i="41"/>
  <c r="O29" i="41"/>
  <c r="O37" i="41"/>
  <c r="O39" i="41"/>
  <c r="O51" i="41"/>
  <c r="O55" i="41"/>
  <c r="O70" i="6"/>
  <c r="O53" i="6"/>
  <c r="O46" i="6"/>
  <c r="O71" i="7"/>
  <c r="O41" i="7"/>
  <c r="O33" i="7"/>
  <c r="O31" i="7"/>
  <c r="O69" i="8"/>
  <c r="O71" i="9"/>
  <c r="O47" i="9"/>
  <c r="O51" i="11"/>
  <c r="O23" i="28"/>
  <c r="O35" i="28"/>
  <c r="O37" i="28"/>
  <c r="O47" i="28"/>
  <c r="O21" i="30"/>
  <c r="O25" i="30"/>
  <c r="O31" i="30"/>
  <c r="O41" i="30"/>
  <c r="O57" i="30"/>
  <c r="O59" i="30"/>
  <c r="P104" i="38"/>
  <c r="O47" i="42"/>
  <c r="O39" i="3"/>
  <c r="O37" i="3"/>
  <c r="O33" i="3"/>
  <c r="O31" i="3"/>
  <c r="O29" i="3"/>
  <c r="O56" i="4"/>
  <c r="O54" i="4"/>
  <c r="O42" i="4"/>
  <c r="O32" i="4"/>
  <c r="O38" i="5"/>
  <c r="O69" i="6"/>
  <c r="O70" i="7"/>
  <c r="O68" i="7"/>
  <c r="O60" i="7"/>
  <c r="O54" i="7"/>
  <c r="O48" i="7"/>
  <c r="O46" i="7"/>
  <c r="O44" i="7"/>
  <c r="O42" i="7"/>
  <c r="O40" i="7"/>
  <c r="O34" i="7"/>
  <c r="O32" i="7"/>
  <c r="O30" i="7"/>
  <c r="O72" i="8"/>
  <c r="O46" i="8"/>
  <c r="O44" i="8"/>
  <c r="O42" i="8"/>
  <c r="O40" i="8"/>
  <c r="O36" i="8"/>
  <c r="O34" i="8"/>
  <c r="O32" i="8"/>
  <c r="O30" i="8"/>
  <c r="O41" i="11"/>
  <c r="O39" i="11"/>
  <c r="P116" i="13"/>
  <c r="P114" i="13"/>
  <c r="P108" i="13"/>
  <c r="P102" i="13"/>
  <c r="O32" i="13"/>
  <c r="O28" i="13"/>
  <c r="O24" i="13"/>
  <c r="O64" i="22"/>
  <c r="O62" i="22"/>
  <c r="O60" i="22"/>
  <c r="O56" i="22"/>
  <c r="O44" i="22"/>
  <c r="O42" i="22"/>
  <c r="O38" i="22"/>
  <c r="O26" i="22"/>
  <c r="O65" i="23"/>
  <c r="O61" i="23"/>
  <c r="O43" i="23"/>
  <c r="O36" i="23"/>
  <c r="O58" i="24"/>
  <c r="O54" i="24"/>
  <c r="O64" i="25"/>
  <c r="O70" i="27"/>
  <c r="O24" i="28"/>
  <c r="O53" i="31"/>
  <c r="O63" i="31"/>
  <c r="O62" i="44"/>
  <c r="O66" i="44"/>
  <c r="P109" i="44"/>
  <c r="P129" i="44"/>
  <c r="O21" i="45"/>
  <c r="O23" i="45"/>
  <c r="I10" i="28"/>
  <c r="I10" i="29"/>
  <c r="I10" i="9"/>
  <c r="I10" i="11"/>
  <c r="I10" i="3"/>
  <c r="I10" i="42"/>
  <c r="I10" i="7"/>
  <c r="D94" i="7" s="1"/>
  <c r="A4" i="1"/>
  <c r="I10" i="13"/>
  <c r="I10" i="10"/>
  <c r="D93" i="10" s="1"/>
  <c r="I10" i="30"/>
  <c r="D94" i="30" s="1"/>
  <c r="A2" i="1"/>
  <c r="A2" i="2" s="1"/>
  <c r="I10" i="37"/>
  <c r="I10" i="40"/>
  <c r="D94" i="40" s="1"/>
  <c r="I10" i="24"/>
  <c r="I10" i="22"/>
  <c r="I10" i="31"/>
  <c r="I10" i="43"/>
  <c r="I10" i="27"/>
  <c r="I10" i="45"/>
  <c r="N5" i="45" s="1"/>
  <c r="N7" i="45" s="1"/>
  <c r="I10" i="5"/>
  <c r="I10" i="39"/>
  <c r="D94" i="39" s="1"/>
  <c r="I10" i="25"/>
  <c r="I10" i="8"/>
  <c r="I10" i="44"/>
  <c r="I10" i="41"/>
  <c r="D94" i="41" s="1"/>
  <c r="D94" i="38"/>
  <c r="I10" i="6"/>
  <c r="D92" i="38"/>
  <c r="I10" i="4"/>
  <c r="O87" i="11"/>
  <c r="O23" i="29"/>
  <c r="P102" i="41"/>
  <c r="P104" i="41"/>
  <c r="P108" i="41"/>
  <c r="P118" i="41"/>
  <c r="P122" i="41"/>
  <c r="P126" i="41"/>
  <c r="P107" i="42"/>
  <c r="P121" i="42"/>
  <c r="O37" i="43"/>
  <c r="O65" i="43"/>
  <c r="C61" i="1"/>
  <c r="C14" i="1"/>
  <c r="C73" i="1"/>
  <c r="C39" i="1"/>
  <c r="C55" i="1"/>
  <c r="C80" i="1"/>
  <c r="C50" i="1"/>
  <c r="C56" i="1"/>
  <c r="C62" i="1"/>
  <c r="N6" i="45"/>
  <c r="O87" i="8"/>
  <c r="O38" i="24"/>
  <c r="O28" i="3"/>
  <c r="O51" i="4"/>
  <c r="O49" i="4"/>
  <c r="O47" i="4"/>
  <c r="O45" i="4"/>
  <c r="O41" i="4"/>
  <c r="O67" i="7"/>
  <c r="O65" i="7"/>
  <c r="O63" i="7"/>
  <c r="O53" i="7"/>
  <c r="O45" i="7"/>
  <c r="O70" i="9"/>
  <c r="O28" i="27"/>
  <c r="O50" i="27"/>
  <c r="F17" i="1"/>
  <c r="F20" i="1" s="1"/>
  <c r="O46" i="5"/>
  <c r="O70" i="8"/>
  <c r="O68" i="8"/>
  <c r="O51" i="8"/>
  <c r="O69" i="9"/>
  <c r="O53" i="9"/>
  <c r="O51" i="9"/>
  <c r="O48" i="9"/>
  <c r="O45" i="9"/>
  <c r="O43" i="9"/>
  <c r="O41" i="9"/>
  <c r="O39" i="9"/>
  <c r="O32" i="9"/>
  <c r="P110" i="13"/>
  <c r="O25" i="13"/>
  <c r="O70" i="22"/>
  <c r="O48" i="22"/>
  <c r="O34" i="22"/>
  <c r="O71" i="23"/>
  <c r="O55" i="23"/>
  <c r="O51" i="23"/>
  <c r="O40" i="24"/>
  <c r="O72" i="25"/>
  <c r="O53" i="29"/>
  <c r="O61" i="37"/>
  <c r="O25" i="39"/>
  <c r="O27" i="39"/>
  <c r="O49" i="39"/>
  <c r="P128" i="39"/>
  <c r="P110" i="44"/>
  <c r="P124" i="44"/>
  <c r="O20" i="45"/>
  <c r="O88" i="41"/>
  <c r="O34" i="5"/>
  <c r="O39" i="6"/>
  <c r="O37" i="6"/>
  <c r="O35" i="6"/>
  <c r="O56" i="8"/>
  <c r="O49" i="22"/>
  <c r="O46" i="23"/>
  <c r="O57" i="24"/>
  <c r="O34" i="24"/>
  <c r="O28" i="24"/>
  <c r="O26" i="24"/>
  <c r="O32" i="29"/>
  <c r="O41" i="31"/>
  <c r="O34" i="38"/>
  <c r="O64" i="38"/>
  <c r="O66" i="38"/>
  <c r="O42" i="44"/>
  <c r="O44" i="44"/>
  <c r="O68" i="40"/>
  <c r="O72" i="40"/>
  <c r="O67" i="41"/>
  <c r="O19" i="44"/>
  <c r="O64" i="9"/>
  <c r="O31" i="9"/>
  <c r="O70" i="10"/>
  <c r="O32" i="10"/>
  <c r="O29" i="11"/>
  <c r="P129" i="13"/>
  <c r="P125" i="13"/>
  <c r="P121" i="13"/>
  <c r="P113" i="13"/>
  <c r="P105" i="13"/>
  <c r="P103" i="13"/>
  <c r="P99" i="13"/>
  <c r="O52" i="23"/>
  <c r="O70" i="24"/>
  <c r="O48" i="24"/>
  <c r="O44" i="24"/>
  <c r="O61" i="25"/>
  <c r="O34" i="25"/>
  <c r="O32" i="25"/>
  <c r="O53" i="27"/>
  <c r="O67" i="27"/>
  <c r="O69" i="27"/>
  <c r="O32" i="28"/>
  <c r="O36" i="28"/>
  <c r="O38" i="28"/>
  <c r="O50" i="28"/>
  <c r="O68" i="28"/>
  <c r="O35" i="29"/>
  <c r="O47" i="29"/>
  <c r="O51" i="29"/>
  <c r="O55" i="29"/>
  <c r="O72" i="29"/>
  <c r="O71" i="30"/>
  <c r="O57" i="31"/>
  <c r="O61" i="31"/>
  <c r="O71" i="31"/>
  <c r="O20" i="37"/>
  <c r="O22" i="37"/>
  <c r="O26" i="37"/>
  <c r="O28" i="37"/>
  <c r="O30" i="37"/>
  <c r="O32" i="37"/>
  <c r="O36" i="37"/>
  <c r="O44" i="37"/>
  <c r="O50" i="37"/>
  <c r="O58" i="37"/>
  <c r="O60" i="37"/>
  <c r="O66" i="37"/>
  <c r="O70" i="37"/>
  <c r="P99" i="37"/>
  <c r="P101" i="37"/>
  <c r="P119" i="37"/>
  <c r="O19" i="38"/>
  <c r="O25" i="38"/>
  <c r="O35" i="38"/>
  <c r="O45" i="38"/>
  <c r="O41" i="40"/>
  <c r="P114" i="40"/>
  <c r="P118" i="40"/>
  <c r="P122" i="40"/>
  <c r="P130" i="40"/>
  <c r="O30" i="41"/>
  <c r="O40" i="41"/>
  <c r="O42" i="41"/>
  <c r="O72" i="41"/>
  <c r="O51" i="42"/>
  <c r="P102" i="42"/>
  <c r="P108" i="42"/>
  <c r="P112" i="42"/>
  <c r="P122" i="42"/>
  <c r="O22" i="44"/>
  <c r="O28" i="44"/>
  <c r="O34" i="44"/>
  <c r="O19" i="45"/>
  <c r="O58" i="45"/>
  <c r="P117" i="45"/>
  <c r="C99" i="10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D13" i="29"/>
  <c r="I14" i="29" s="1"/>
  <c r="E22" i="29" s="1"/>
  <c r="F22" i="29" s="1"/>
  <c r="D23" i="29" s="1"/>
  <c r="D13" i="42"/>
  <c r="I14" i="42" s="1"/>
  <c r="D13" i="10"/>
  <c r="I14" i="10" s="1"/>
  <c r="E30" i="10" s="1"/>
  <c r="D13" i="7"/>
  <c r="I14" i="7" s="1"/>
  <c r="E30" i="7" s="1"/>
  <c r="F30" i="7" s="1"/>
  <c r="D13" i="25"/>
  <c r="I14" i="25" s="1"/>
  <c r="D13" i="5"/>
  <c r="I14" i="5" s="1"/>
  <c r="E27" i="5" s="1"/>
  <c r="F27" i="5" s="1"/>
  <c r="G27" i="5" s="1"/>
  <c r="D13" i="41"/>
  <c r="I14" i="41" s="1"/>
  <c r="E18" i="41" s="1"/>
  <c r="F18" i="41" s="1"/>
  <c r="D19" i="41" s="1"/>
  <c r="D13" i="37"/>
  <c r="I14" i="37" s="1"/>
  <c r="D13" i="11"/>
  <c r="I14" i="11" s="1"/>
  <c r="E29" i="11" s="1"/>
  <c r="F29" i="11" s="1"/>
  <c r="D13" i="6"/>
  <c r="I14" i="6" s="1"/>
  <c r="D13" i="44"/>
  <c r="I14" i="44" s="1"/>
  <c r="D13" i="28"/>
  <c r="I14" i="28" s="1"/>
  <c r="D13" i="40"/>
  <c r="I14" i="40" s="1"/>
  <c r="E18" i="40" s="1"/>
  <c r="F18" i="40" s="1"/>
  <c r="D13" i="38"/>
  <c r="I14" i="38" s="1"/>
  <c r="E19" i="38" s="1"/>
  <c r="D13" i="3"/>
  <c r="I14" i="3" s="1"/>
  <c r="E27" i="3" s="1"/>
  <c r="F27" i="3" s="1"/>
  <c r="D13" i="39"/>
  <c r="I14" i="39" s="1"/>
  <c r="E19" i="39" s="1"/>
  <c r="F19" i="39" s="1"/>
  <c r="D13" i="23"/>
  <c r="I14" i="23" s="1"/>
  <c r="D13" i="22"/>
  <c r="I14" i="22" s="1"/>
  <c r="E26" i="22" s="1"/>
  <c r="D13" i="45"/>
  <c r="I14" i="45" s="1"/>
  <c r="D13" i="27"/>
  <c r="I14" i="27" s="1"/>
  <c r="D13" i="24"/>
  <c r="I14" i="24" s="1"/>
  <c r="D13" i="4"/>
  <c r="I14" i="4" s="1"/>
  <c r="E27" i="4" s="1"/>
  <c r="F27" i="4" s="1"/>
  <c r="H27" i="4" s="1"/>
  <c r="D13" i="30"/>
  <c r="I14" i="30" s="1"/>
  <c r="E21" i="30" s="1"/>
  <c r="D13" i="9"/>
  <c r="I14" i="9" s="1"/>
  <c r="D13" i="8"/>
  <c r="I14" i="8" s="1"/>
  <c r="D13" i="13"/>
  <c r="D13" i="43"/>
  <c r="I14" i="43" s="1"/>
  <c r="E18" i="43" s="1"/>
  <c r="F18" i="43" s="1"/>
  <c r="I17" i="44"/>
  <c r="N6" i="44"/>
  <c r="O87" i="42"/>
  <c r="M89" i="43"/>
  <c r="O87" i="30"/>
  <c r="D92" i="40"/>
  <c r="O35" i="5"/>
  <c r="O71" i="6"/>
  <c r="O60" i="8"/>
  <c r="O58" i="8"/>
  <c r="O68" i="9"/>
  <c r="O30" i="10"/>
  <c r="O30" i="11"/>
  <c r="O63" i="23"/>
  <c r="D93" i="30"/>
  <c r="D93" i="7"/>
  <c r="D94" i="10"/>
  <c r="O87" i="22"/>
  <c r="D93" i="40"/>
  <c r="O48" i="3"/>
  <c r="O46" i="3"/>
  <c r="O44" i="3"/>
  <c r="O42" i="5"/>
  <c r="O31" i="5"/>
  <c r="O36" i="6"/>
  <c r="O57" i="7"/>
  <c r="O37" i="8"/>
  <c r="O35" i="11"/>
  <c r="O70" i="13"/>
  <c r="O68" i="13"/>
  <c r="B19" i="13"/>
  <c r="O87" i="4"/>
  <c r="O38" i="3"/>
  <c r="O32" i="3"/>
  <c r="O57" i="4"/>
  <c r="O55" i="4"/>
  <c r="O40" i="5"/>
  <c r="O36" i="5"/>
  <c r="O48" i="6"/>
  <c r="O41" i="6"/>
  <c r="O64" i="7"/>
  <c r="O62" i="7"/>
  <c r="O34" i="9"/>
  <c r="O47" i="11"/>
  <c r="O27" i="13"/>
  <c r="O68" i="22"/>
  <c r="O35" i="22"/>
  <c r="O56" i="23"/>
  <c r="I12" i="39"/>
  <c r="I13" i="39" s="1"/>
  <c r="I12" i="13"/>
  <c r="I12" i="3"/>
  <c r="I13" i="3" s="1"/>
  <c r="I12" i="31"/>
  <c r="I13" i="31" s="1"/>
  <c r="I12" i="10"/>
  <c r="I13" i="10" s="1"/>
  <c r="I12" i="5"/>
  <c r="I13" i="5" s="1"/>
  <c r="I12" i="43"/>
  <c r="I13" i="43" s="1"/>
  <c r="I12" i="28"/>
  <c r="I13" i="28" s="1"/>
  <c r="I12" i="40"/>
  <c r="I13" i="40" s="1"/>
  <c r="I12" i="22"/>
  <c r="I13" i="22" s="1"/>
  <c r="I12" i="30"/>
  <c r="I13" i="30" s="1"/>
  <c r="I12" i="27"/>
  <c r="I13" i="27" s="1"/>
  <c r="O46" i="24"/>
  <c r="O72" i="27"/>
  <c r="O28" i="29"/>
  <c r="O30" i="29"/>
  <c r="O60" i="29"/>
  <c r="O50" i="30"/>
  <c r="O72" i="37"/>
  <c r="O43" i="38"/>
  <c r="O72" i="38"/>
  <c r="O24" i="39"/>
  <c r="O48" i="39"/>
  <c r="O46" i="40"/>
  <c r="O43" i="44"/>
  <c r="O49" i="44"/>
  <c r="O72" i="44"/>
  <c r="P99" i="44"/>
  <c r="P107" i="44"/>
  <c r="O61" i="45"/>
  <c r="P104" i="45"/>
  <c r="P106" i="45"/>
  <c r="P116" i="45"/>
  <c r="O47" i="3"/>
  <c r="O33" i="6"/>
  <c r="O58" i="7"/>
  <c r="O54" i="8"/>
  <c r="O58" i="13"/>
  <c r="O39" i="22"/>
  <c r="O58" i="23"/>
  <c r="O28" i="23"/>
  <c r="O60" i="24"/>
  <c r="O25" i="24"/>
  <c r="O71" i="25"/>
  <c r="O45" i="25"/>
  <c r="O43" i="25"/>
  <c r="O26" i="28"/>
  <c r="O48" i="28"/>
  <c r="O61" i="28"/>
  <c r="O40" i="29"/>
  <c r="O46" i="29"/>
  <c r="O70" i="29"/>
  <c r="O67" i="30"/>
  <c r="O72" i="30"/>
  <c r="O23" i="31"/>
  <c r="O31" i="31"/>
  <c r="O35" i="31"/>
  <c r="O43" i="31"/>
  <c r="O51" i="31"/>
  <c r="O19" i="37"/>
  <c r="O23" i="37"/>
  <c r="O25" i="37"/>
  <c r="O31" i="37"/>
  <c r="P100" i="39"/>
  <c r="P106" i="39"/>
  <c r="P108" i="39"/>
  <c r="O33" i="40"/>
  <c r="O39" i="40"/>
  <c r="O64" i="40"/>
  <c r="O42" i="42"/>
  <c r="O46" i="42"/>
  <c r="O33" i="44"/>
  <c r="O17" i="45"/>
  <c r="O28" i="45"/>
  <c r="O34" i="45"/>
  <c r="O38" i="45"/>
  <c r="O40" i="45"/>
  <c r="O70" i="3"/>
  <c r="O64" i="3"/>
  <c r="O58" i="3"/>
  <c r="O54" i="3"/>
  <c r="O52" i="3"/>
  <c r="O41" i="3"/>
  <c r="O34" i="3"/>
  <c r="O67" i="4"/>
  <c r="O61" i="4"/>
  <c r="O59" i="4"/>
  <c r="O40" i="4"/>
  <c r="O38" i="4"/>
  <c r="O31" i="4"/>
  <c r="O50" i="6"/>
  <c r="O38" i="6"/>
  <c r="O69" i="7"/>
  <c r="O52" i="7"/>
  <c r="O39" i="7"/>
  <c r="O37" i="7"/>
  <c r="O61" i="9"/>
  <c r="O29" i="9"/>
  <c r="O66" i="10"/>
  <c r="O64" i="10"/>
  <c r="O56" i="10"/>
  <c r="O54" i="10"/>
  <c r="O48" i="10"/>
  <c r="O44" i="10"/>
  <c r="O40" i="10"/>
  <c r="O60" i="11"/>
  <c r="O58" i="11"/>
  <c r="O52" i="11"/>
  <c r="O42" i="11"/>
  <c r="O33" i="11"/>
  <c r="O45" i="13"/>
  <c r="O38" i="13"/>
  <c r="O59" i="22"/>
  <c r="O51" i="22"/>
  <c r="O31" i="22"/>
  <c r="O30" i="24"/>
  <c r="O39" i="25"/>
  <c r="O37" i="25"/>
  <c r="O35" i="25"/>
  <c r="O65" i="29"/>
  <c r="O46" i="37"/>
  <c r="O29" i="44"/>
  <c r="O31" i="11"/>
  <c r="O61" i="13"/>
  <c r="O31" i="13"/>
  <c r="O40" i="22"/>
  <c r="O28" i="22"/>
  <c r="O33" i="23"/>
  <c r="O31" i="23"/>
  <c r="O29" i="23"/>
  <c r="O50" i="24"/>
  <c r="O43" i="24"/>
  <c r="O27" i="25"/>
  <c r="O45" i="28"/>
  <c r="O64" i="28"/>
  <c r="O70" i="28"/>
  <c r="O26" i="29"/>
  <c r="O29" i="29"/>
  <c r="O31" i="29"/>
  <c r="O56" i="29"/>
  <c r="O66" i="29"/>
  <c r="O26" i="30"/>
  <c r="O28" i="30"/>
  <c r="O32" i="30"/>
  <c r="O36" i="30"/>
  <c r="O26" i="31"/>
  <c r="O30" i="31"/>
  <c r="O50" i="31"/>
  <c r="O58" i="31"/>
  <c r="O51" i="37"/>
  <c r="O53" i="37"/>
  <c r="O51" i="38"/>
  <c r="O55" i="38"/>
  <c r="P118" i="38"/>
  <c r="O32" i="39"/>
  <c r="O34" i="39"/>
  <c r="O36" i="39"/>
  <c r="O44" i="39"/>
  <c r="O53" i="39"/>
  <c r="O55" i="39"/>
  <c r="O61" i="39"/>
  <c r="O67" i="39"/>
  <c r="O69" i="39"/>
  <c r="O22" i="40"/>
  <c r="O30" i="40"/>
  <c r="P101" i="40"/>
  <c r="P103" i="40"/>
  <c r="P107" i="40"/>
  <c r="P127" i="40"/>
  <c r="O25" i="41"/>
  <c r="O27" i="41"/>
  <c r="O33" i="41"/>
  <c r="O66" i="41"/>
  <c r="O70" i="41"/>
  <c r="P99" i="42"/>
  <c r="P111" i="42"/>
  <c r="O25" i="43"/>
  <c r="O46" i="44"/>
  <c r="O33" i="45"/>
  <c r="O72" i="39"/>
  <c r="P115" i="39"/>
  <c r="P123" i="39"/>
  <c r="P127" i="39"/>
  <c r="O18" i="42"/>
  <c r="O22" i="42"/>
  <c r="O24" i="42"/>
  <c r="O49" i="42"/>
  <c r="O66" i="42"/>
  <c r="O42" i="43"/>
  <c r="O47" i="43"/>
  <c r="O26" i="44"/>
  <c r="O60" i="44"/>
  <c r="O63" i="44"/>
  <c r="P120" i="44"/>
  <c r="O51" i="45"/>
  <c r="O53" i="45"/>
  <c r="R12" i="17"/>
  <c r="T12" i="17" s="1"/>
  <c r="N89" i="41"/>
  <c r="P109" i="4"/>
  <c r="P118" i="9"/>
  <c r="P135" i="10"/>
  <c r="P121" i="22"/>
  <c r="P117" i="22"/>
  <c r="P106" i="22"/>
  <c r="P102" i="43"/>
  <c r="P106" i="43"/>
  <c r="P114" i="43"/>
  <c r="P122" i="43"/>
  <c r="P126" i="43"/>
  <c r="P130" i="43"/>
  <c r="P111" i="44"/>
  <c r="P113" i="44"/>
  <c r="P121" i="44"/>
  <c r="P123" i="44"/>
  <c r="P148" i="3"/>
  <c r="P144" i="3"/>
  <c r="P142" i="3"/>
  <c r="P140" i="3"/>
  <c r="P134" i="3"/>
  <c r="P132" i="3"/>
  <c r="P130" i="3"/>
  <c r="P128" i="3"/>
  <c r="P152" i="4"/>
  <c r="P148" i="4"/>
  <c r="P146" i="4"/>
  <c r="P144" i="4"/>
  <c r="P142" i="4"/>
  <c r="P138" i="4"/>
  <c r="P134" i="4"/>
  <c r="P128" i="4"/>
  <c r="P124" i="4"/>
  <c r="P120" i="4"/>
  <c r="P112" i="4"/>
  <c r="P108" i="4"/>
  <c r="P137" i="5"/>
  <c r="P135" i="5"/>
  <c r="P131" i="5"/>
  <c r="P119" i="5"/>
  <c r="P115" i="5"/>
  <c r="P111" i="5"/>
  <c r="P109" i="5"/>
  <c r="P107" i="5"/>
  <c r="P153" i="7"/>
  <c r="P152" i="8"/>
  <c r="P126" i="8"/>
  <c r="P124" i="8"/>
  <c r="P120" i="8"/>
  <c r="P118" i="8"/>
  <c r="P114" i="8"/>
  <c r="P133" i="10"/>
  <c r="P125" i="10"/>
  <c r="P123" i="10"/>
  <c r="P121" i="10"/>
  <c r="P119" i="10"/>
  <c r="P130" i="11"/>
  <c r="P126" i="11"/>
  <c r="P120" i="11"/>
  <c r="P130" i="13"/>
  <c r="P107" i="13"/>
  <c r="P128" i="22"/>
  <c r="P111" i="22"/>
  <c r="P109" i="22"/>
  <c r="P107" i="24"/>
  <c r="P113" i="25"/>
  <c r="P111" i="25"/>
  <c r="P106" i="27"/>
  <c r="P111" i="29"/>
  <c r="P123" i="29"/>
  <c r="P121" i="38"/>
  <c r="P125" i="38"/>
  <c r="P127" i="38"/>
  <c r="P129" i="38"/>
  <c r="P114" i="39"/>
  <c r="P120" i="39"/>
  <c r="P101" i="42"/>
  <c r="P105" i="42"/>
  <c r="P113" i="42"/>
  <c r="P115" i="42"/>
  <c r="P113" i="43"/>
  <c r="P118" i="44"/>
  <c r="P151" i="3"/>
  <c r="P129" i="3"/>
  <c r="P112" i="3"/>
  <c r="P151" i="4"/>
  <c r="P143" i="4"/>
  <c r="P135" i="4"/>
  <c r="P133" i="4"/>
  <c r="P129" i="4"/>
  <c r="P136" i="5"/>
  <c r="P128" i="5"/>
  <c r="P152" i="7"/>
  <c r="P139" i="7"/>
  <c r="P125" i="7"/>
  <c r="P113" i="7"/>
  <c r="P127" i="8"/>
  <c r="P130" i="10"/>
  <c r="P128" i="10"/>
  <c r="P129" i="11"/>
  <c r="P127" i="11"/>
  <c r="P125" i="11"/>
  <c r="P123" i="11"/>
  <c r="P121" i="11"/>
  <c r="P119" i="11"/>
  <c r="P122" i="13"/>
  <c r="P118" i="13"/>
  <c r="P122" i="22"/>
  <c r="P112" i="22"/>
  <c r="P110" i="22"/>
  <c r="P120" i="23"/>
  <c r="P118" i="23"/>
  <c r="P118" i="25"/>
  <c r="P114" i="25"/>
  <c r="F88" i="2"/>
  <c r="F89" i="2" s="1"/>
  <c r="F91" i="2" s="1"/>
  <c r="F92" i="2" s="1"/>
  <c r="F93" i="2" s="1"/>
  <c r="P105" i="27"/>
  <c r="P124" i="27"/>
  <c r="P128" i="27"/>
  <c r="P102" i="29"/>
  <c r="P110" i="29"/>
  <c r="P126" i="29"/>
  <c r="P103" i="30"/>
  <c r="P115" i="30"/>
  <c r="P117" i="30"/>
  <c r="P111" i="31"/>
  <c r="P117" i="31"/>
  <c r="P125" i="31"/>
  <c r="P129" i="31"/>
  <c r="P108" i="37"/>
  <c r="P116" i="37"/>
  <c r="P118" i="37"/>
  <c r="P122" i="37"/>
  <c r="P126" i="37"/>
  <c r="P130" i="37"/>
  <c r="P100" i="38"/>
  <c r="P120" i="38"/>
  <c r="P123" i="41"/>
  <c r="P115" i="29"/>
  <c r="P106" i="30"/>
  <c r="P114" i="30"/>
  <c r="P99" i="39"/>
  <c r="P109" i="40"/>
  <c r="P103" i="44"/>
  <c r="P105" i="44"/>
  <c r="M87" i="45"/>
  <c r="M89" i="45" s="1"/>
  <c r="M88" i="45"/>
  <c r="N87" i="45"/>
  <c r="N89" i="45" s="1"/>
  <c r="O87" i="43"/>
  <c r="N88" i="40"/>
  <c r="N87" i="24"/>
  <c r="O87" i="24" s="1"/>
  <c r="M87" i="5"/>
  <c r="O87" i="5" s="1"/>
  <c r="C39" i="2"/>
  <c r="C55" i="2"/>
  <c r="C8" i="2"/>
  <c r="P148" i="5"/>
  <c r="P144" i="5"/>
  <c r="P140" i="5"/>
  <c r="P151" i="7"/>
  <c r="P144" i="10"/>
  <c r="P138" i="10"/>
  <c r="P115" i="22"/>
  <c r="P130" i="24"/>
  <c r="P107" i="25"/>
  <c r="P103" i="37"/>
  <c r="P107" i="37"/>
  <c r="P115" i="37"/>
  <c r="P100" i="40"/>
  <c r="P116" i="42"/>
  <c r="P120" i="42"/>
  <c r="P124" i="42"/>
  <c r="P128" i="42"/>
  <c r="P117" i="44"/>
  <c r="P122" i="45"/>
  <c r="P126" i="45"/>
  <c r="P128" i="45"/>
  <c r="M88" i="44"/>
  <c r="O88" i="44" s="1"/>
  <c r="P149" i="10"/>
  <c r="P137" i="10"/>
  <c r="P109" i="23"/>
  <c r="P102" i="28"/>
  <c r="P106" i="28"/>
  <c r="P110" i="28"/>
  <c r="P114" i="28"/>
  <c r="P122" i="28"/>
  <c r="P126" i="28"/>
  <c r="P110" i="38"/>
  <c r="P114" i="38"/>
  <c r="P112" i="41"/>
  <c r="P116" i="41"/>
  <c r="P120" i="41"/>
  <c r="P114" i="44"/>
  <c r="P107" i="31"/>
  <c r="P139" i="3"/>
  <c r="L86" i="28"/>
  <c r="M87" i="28"/>
  <c r="N87" i="28"/>
  <c r="O87" i="9"/>
  <c r="N87" i="3"/>
  <c r="M87" i="3"/>
  <c r="O87" i="41"/>
  <c r="O89" i="41" s="1"/>
  <c r="M89" i="41"/>
  <c r="L86" i="27"/>
  <c r="N87" i="27"/>
  <c r="O87" i="27" s="1"/>
  <c r="P121" i="3"/>
  <c r="M87" i="38"/>
  <c r="P146" i="5"/>
  <c r="P120" i="27"/>
  <c r="P129" i="29"/>
  <c r="P116" i="31"/>
  <c r="P120" i="31"/>
  <c r="P124" i="31"/>
  <c r="P128" i="31"/>
  <c r="P124" i="37"/>
  <c r="P123" i="38"/>
  <c r="P129" i="39"/>
  <c r="P105" i="40"/>
  <c r="P120" i="40"/>
  <c r="P124" i="40"/>
  <c r="P125" i="44"/>
  <c r="N87" i="38"/>
  <c r="N87" i="10"/>
  <c r="O87" i="10" s="1"/>
  <c r="P118" i="3"/>
  <c r="P126" i="4"/>
  <c r="P118" i="4"/>
  <c r="P114" i="4"/>
  <c r="P130" i="5"/>
  <c r="P126" i="5"/>
  <c r="P126" i="7"/>
  <c r="P149" i="8"/>
  <c r="P109" i="8"/>
  <c r="P115" i="9"/>
  <c r="P139" i="10"/>
  <c r="P132" i="10"/>
  <c r="P109" i="11"/>
  <c r="P127" i="13"/>
  <c r="P123" i="22"/>
  <c r="P116" i="22"/>
  <c r="P130" i="23"/>
  <c r="P113" i="23"/>
  <c r="P105" i="24"/>
  <c r="P119" i="30"/>
  <c r="P105" i="31"/>
  <c r="P130" i="44"/>
  <c r="P105" i="45"/>
  <c r="P109" i="45"/>
  <c r="P120" i="45"/>
  <c r="L86" i="10"/>
  <c r="O87" i="37"/>
  <c r="P150" i="3"/>
  <c r="P146" i="3"/>
  <c r="P135" i="3"/>
  <c r="P131" i="3"/>
  <c r="P117" i="3"/>
  <c r="P113" i="3"/>
  <c r="P125" i="5"/>
  <c r="P117" i="5"/>
  <c r="P109" i="6"/>
  <c r="P150" i="7"/>
  <c r="P132" i="7"/>
  <c r="P121" i="7"/>
  <c r="P117" i="7"/>
  <c r="P110" i="7"/>
  <c r="P116" i="8"/>
  <c r="P112" i="8"/>
  <c r="P108" i="8"/>
  <c r="P122" i="11"/>
  <c r="P112" i="11"/>
  <c r="P100" i="13"/>
  <c r="P122" i="23"/>
  <c r="P119" i="24"/>
  <c r="P111" i="24"/>
  <c r="P129" i="25"/>
  <c r="P113" i="28"/>
  <c r="P121" i="28"/>
  <c r="P125" i="28"/>
  <c r="P119" i="29"/>
  <c r="P105" i="30"/>
  <c r="P109" i="30"/>
  <c r="P120" i="30"/>
  <c r="P106" i="31"/>
  <c r="P130" i="31"/>
  <c r="P110" i="37"/>
  <c r="P101" i="38"/>
  <c r="P130" i="41"/>
  <c r="P104" i="42"/>
  <c r="P116" i="44"/>
  <c r="P127" i="44"/>
  <c r="P110" i="45"/>
  <c r="P113" i="5"/>
  <c r="P129" i="22"/>
  <c r="P128" i="25"/>
  <c r="P118" i="28"/>
  <c r="P130" i="28"/>
  <c r="P109" i="29"/>
  <c r="P110" i="30"/>
  <c r="P125" i="30"/>
  <c r="P103" i="31"/>
  <c r="P102" i="38"/>
  <c r="P106" i="38"/>
  <c r="P104" i="39"/>
  <c r="P112" i="39"/>
  <c r="P124" i="39"/>
  <c r="P111" i="40"/>
  <c r="P118" i="45"/>
  <c r="N87" i="40"/>
  <c r="P139" i="5"/>
  <c r="P151" i="10"/>
  <c r="P128" i="11"/>
  <c r="P109" i="13"/>
  <c r="P117" i="29"/>
  <c r="P104" i="37"/>
  <c r="P99" i="38"/>
  <c r="P123" i="43"/>
  <c r="L86" i="38"/>
  <c r="O88" i="43"/>
  <c r="O89" i="43" s="1"/>
  <c r="P129" i="10"/>
  <c r="E19" i="43"/>
  <c r="E26" i="25"/>
  <c r="E18" i="45"/>
  <c r="D20" i="39"/>
  <c r="G19" i="39"/>
  <c r="H19" i="39"/>
  <c r="E20" i="39"/>
  <c r="E19" i="41"/>
  <c r="G19" i="13"/>
  <c r="D20" i="13"/>
  <c r="E20" i="13" s="1"/>
  <c r="D28" i="5"/>
  <c r="E25" i="23"/>
  <c r="B23" i="29"/>
  <c r="E28" i="4"/>
  <c r="G30" i="7"/>
  <c r="D31" i="7"/>
  <c r="H30" i="7"/>
  <c r="E31" i="7"/>
  <c r="E22" i="28"/>
  <c r="E28" i="8"/>
  <c r="H29" i="11"/>
  <c r="G29" i="11"/>
  <c r="D30" i="11"/>
  <c r="E30" i="11"/>
  <c r="E18" i="42"/>
  <c r="E19" i="37"/>
  <c r="D28" i="3"/>
  <c r="E24" i="24"/>
  <c r="H22" i="29"/>
  <c r="E23" i="29"/>
  <c r="F23" i="29" s="1"/>
  <c r="G22" i="29"/>
  <c r="G18" i="40"/>
  <c r="H18" i="40"/>
  <c r="D19" i="40"/>
  <c r="E19" i="40"/>
  <c r="D13" i="31"/>
  <c r="I14" i="31" s="1"/>
  <c r="C45" i="44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N5" i="44"/>
  <c r="N7" i="44" s="1"/>
  <c r="L86" i="39"/>
  <c r="M87" i="39"/>
  <c r="N87" i="39"/>
  <c r="O87" i="39" s="1"/>
  <c r="O88" i="45"/>
  <c r="N89" i="43"/>
  <c r="L86" i="11"/>
  <c r="L86" i="25"/>
  <c r="N87" i="25"/>
  <c r="O87" i="25" s="1"/>
  <c r="F53" i="2"/>
  <c r="E30" i="2"/>
  <c r="I17" i="45"/>
  <c r="M87" i="6"/>
  <c r="N87" i="6"/>
  <c r="N88" i="42"/>
  <c r="M88" i="42"/>
  <c r="M89" i="42" s="1"/>
  <c r="E32" i="2"/>
  <c r="M87" i="44"/>
  <c r="D92" i="41"/>
  <c r="D93" i="41"/>
  <c r="N87" i="44"/>
  <c r="L86" i="44"/>
  <c r="O17" i="41"/>
  <c r="D94" i="23"/>
  <c r="D93" i="23"/>
  <c r="D93" i="39"/>
  <c r="M88" i="40"/>
  <c r="D99" i="24"/>
  <c r="P153" i="4"/>
  <c r="P141" i="4"/>
  <c r="O60" i="4"/>
  <c r="O58" i="6"/>
  <c r="P146" i="7"/>
  <c r="O36" i="7"/>
  <c r="P140" i="8"/>
  <c r="M87" i="40"/>
  <c r="P122" i="4"/>
  <c r="P142" i="5"/>
  <c r="O39" i="5"/>
  <c r="O61" i="7"/>
  <c r="P122" i="8"/>
  <c r="P136" i="3"/>
  <c r="P125" i="3"/>
  <c r="O30" i="3"/>
  <c r="P113" i="4"/>
  <c r="O68" i="6"/>
  <c r="P128" i="8"/>
  <c r="P132" i="4"/>
  <c r="P116" i="4"/>
  <c r="P100" i="4"/>
  <c r="O20" i="5"/>
  <c r="P118" i="7"/>
  <c r="P134" i="8"/>
  <c r="O72" i="3"/>
  <c r="O36" i="3"/>
  <c r="P150" i="4"/>
  <c r="P137" i="8"/>
  <c r="O70" i="25"/>
  <c r="P100" i="23"/>
  <c r="O66" i="28"/>
  <c r="O63" i="28"/>
  <c r="O23" i="6"/>
  <c r="P106" i="7"/>
  <c r="O17" i="28"/>
  <c r="P105" i="6"/>
  <c r="O23" i="11"/>
  <c r="O25" i="28"/>
  <c r="O60" i="28"/>
  <c r="O21" i="25"/>
  <c r="O24" i="7"/>
  <c r="O24" i="29"/>
  <c r="O22" i="5"/>
  <c r="P104" i="6"/>
  <c r="O17" i="29"/>
  <c r="P103" i="23"/>
  <c r="P100" i="28"/>
  <c r="O31" i="41"/>
  <c r="P110" i="43"/>
  <c r="O49" i="38"/>
  <c r="O63" i="39"/>
  <c r="P126" i="40"/>
  <c r="P109" i="10"/>
  <c r="O56" i="43"/>
  <c r="P105" i="5"/>
  <c r="O22" i="23"/>
  <c r="J92" i="29"/>
  <c r="J47" i="17"/>
  <c r="J92" i="13"/>
  <c r="C29" i="17"/>
  <c r="C30" i="17"/>
  <c r="C31" i="17"/>
  <c r="D37" i="17"/>
  <c r="I40" i="17"/>
  <c r="C24" i="17"/>
  <c r="C27" i="17"/>
  <c r="D31" i="17"/>
  <c r="C18" i="17"/>
  <c r="C25" i="17"/>
  <c r="D26" i="17"/>
  <c r="C35" i="17"/>
  <c r="D25" i="17"/>
  <c r="D35" i="17"/>
  <c r="C39" i="17"/>
  <c r="C19" i="17"/>
  <c r="D38" i="17"/>
  <c r="D39" i="17"/>
  <c r="C22" i="17"/>
  <c r="D44" i="17"/>
  <c r="C32" i="17"/>
  <c r="D43" i="17"/>
  <c r="F44" i="17"/>
  <c r="C33" i="17"/>
  <c r="D21" i="17"/>
  <c r="C21" i="17"/>
  <c r="D22" i="17"/>
  <c r="D20" i="17"/>
  <c r="I41" i="17"/>
  <c r="D24" i="17"/>
  <c r="E44" i="17"/>
  <c r="D42" i="17"/>
  <c r="I42" i="17"/>
  <c r="E43" i="17"/>
  <c r="C42" i="17"/>
  <c r="C40" i="17"/>
  <c r="D40" i="17"/>
  <c r="D27" i="17"/>
  <c r="D28" i="17"/>
  <c r="D33" i="17"/>
  <c r="C26" i="17"/>
  <c r="D18" i="17"/>
  <c r="D41" i="17"/>
  <c r="C23" i="17"/>
  <c r="C41" i="17"/>
  <c r="C44" i="17"/>
  <c r="C43" i="17"/>
  <c r="C36" i="17"/>
  <c r="C28" i="17"/>
  <c r="C38" i="17"/>
  <c r="D32" i="17"/>
  <c r="I44" i="17"/>
  <c r="D36" i="17"/>
  <c r="C34" i="17"/>
  <c r="D19" i="17"/>
  <c r="D29" i="17"/>
  <c r="C20" i="17"/>
  <c r="D34" i="17"/>
  <c r="D23" i="17"/>
  <c r="F43" i="17"/>
  <c r="D30" i="17"/>
  <c r="C37" i="17"/>
  <c r="G27" i="4" l="1"/>
  <c r="H27" i="5"/>
  <c r="O87" i="38"/>
  <c r="O87" i="40"/>
  <c r="D28" i="4"/>
  <c r="D92" i="45"/>
  <c r="E28" i="5"/>
  <c r="F28" i="5" s="1"/>
  <c r="G28" i="5" s="1"/>
  <c r="E25" i="1"/>
  <c r="E26" i="1" s="1"/>
  <c r="E32" i="1"/>
  <c r="D93" i="6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D94" i="6"/>
  <c r="D93" i="8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D94" i="8"/>
  <c r="D93" i="45"/>
  <c r="D94" i="45"/>
  <c r="D94" i="22"/>
  <c r="D93" i="22"/>
  <c r="D94" i="11"/>
  <c r="D93" i="11"/>
  <c r="D93" i="25"/>
  <c r="D94" i="25"/>
  <c r="D93" i="9"/>
  <c r="D94" i="9"/>
  <c r="H18" i="43"/>
  <c r="I18" i="43" s="1"/>
  <c r="D93" i="4"/>
  <c r="D94" i="4"/>
  <c r="D93" i="43"/>
  <c r="D92" i="43"/>
  <c r="D94" i="43"/>
  <c r="N6" i="42"/>
  <c r="D92" i="42"/>
  <c r="J96" i="42" s="1"/>
  <c r="N5" i="42"/>
  <c r="D93" i="42"/>
  <c r="D94" i="42"/>
  <c r="D94" i="29"/>
  <c r="D93" i="29"/>
  <c r="C99" i="29" s="1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O87" i="28"/>
  <c r="D92" i="44"/>
  <c r="J96" i="44" s="1"/>
  <c r="D94" i="44"/>
  <c r="D93" i="44"/>
  <c r="D94" i="5"/>
  <c r="D93" i="5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D94" i="31"/>
  <c r="D94" i="37"/>
  <c r="D93" i="37"/>
  <c r="D92" i="37"/>
  <c r="D92" i="13"/>
  <c r="J96" i="13" s="1"/>
  <c r="D94" i="13"/>
  <c r="E99" i="13"/>
  <c r="F99" i="13" s="1"/>
  <c r="D93" i="3"/>
  <c r="D94" i="3"/>
  <c r="H27" i="3"/>
  <c r="N6" i="3" s="1"/>
  <c r="E18" i="44"/>
  <c r="F18" i="44" s="1"/>
  <c r="E19" i="44" s="1"/>
  <c r="E28" i="3"/>
  <c r="G18" i="41"/>
  <c r="D19" i="43"/>
  <c r="F19" i="43" s="1"/>
  <c r="I13" i="13"/>
  <c r="G18" i="13"/>
  <c r="G17" i="13"/>
  <c r="C99" i="40"/>
  <c r="C100" i="40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E28" i="6"/>
  <c r="F28" i="6" s="1"/>
  <c r="M89" i="44"/>
  <c r="H18" i="41"/>
  <c r="N6" i="41" s="1"/>
  <c r="G18" i="43"/>
  <c r="N89" i="40"/>
  <c r="G27" i="3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30"/>
  <c r="C100" i="30" s="1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E29" i="9"/>
  <c r="F29" i="9" s="1"/>
  <c r="E23" i="27"/>
  <c r="E19" i="27"/>
  <c r="D23" i="27" s="1"/>
  <c r="L42" i="17"/>
  <c r="K38" i="17"/>
  <c r="L38" i="17" s="1"/>
  <c r="K40" i="17"/>
  <c r="L40" i="17" s="1"/>
  <c r="V40" i="17" s="1"/>
  <c r="K36" i="17"/>
  <c r="L36" i="17" s="1"/>
  <c r="L43" i="17"/>
  <c r="K39" i="17"/>
  <c r="L39" i="17" s="1"/>
  <c r="K41" i="17"/>
  <c r="L41" i="17" s="1"/>
  <c r="V41" i="17" s="1"/>
  <c r="K37" i="17"/>
  <c r="L37" i="17" s="1"/>
  <c r="K27" i="17"/>
  <c r="L27" i="17" s="1"/>
  <c r="K32" i="17"/>
  <c r="L32" i="17" s="1"/>
  <c r="K33" i="17"/>
  <c r="L33" i="17" s="1"/>
  <c r="K26" i="17"/>
  <c r="L26" i="17" s="1"/>
  <c r="K21" i="17"/>
  <c r="L21" i="17" s="1"/>
  <c r="K20" i="17"/>
  <c r="L20" i="17" s="1"/>
  <c r="K30" i="17"/>
  <c r="L30" i="17" s="1"/>
  <c r="K25" i="17"/>
  <c r="L25" i="17" s="1"/>
  <c r="K18" i="17"/>
  <c r="K34" i="17"/>
  <c r="L34" i="17" s="1"/>
  <c r="K23" i="17"/>
  <c r="L23" i="17" s="1"/>
  <c r="K28" i="17"/>
  <c r="L28" i="17" s="1"/>
  <c r="K29" i="17"/>
  <c r="L29" i="17" s="1"/>
  <c r="K22" i="17"/>
  <c r="L22" i="17" s="1"/>
  <c r="K24" i="17"/>
  <c r="L24" i="17" s="1"/>
  <c r="K19" i="17"/>
  <c r="L19" i="17" s="1"/>
  <c r="K35" i="17"/>
  <c r="L35" i="17" s="1"/>
  <c r="K31" i="17"/>
  <c r="L31" i="17" s="1"/>
  <c r="D95" i="44"/>
  <c r="D95" i="9"/>
  <c r="J96" i="9" s="1"/>
  <c r="D95" i="30"/>
  <c r="J96" i="30" s="1"/>
  <c r="D95" i="8"/>
  <c r="J96" i="8" s="1"/>
  <c r="D95" i="37"/>
  <c r="D95" i="28"/>
  <c r="J96" i="28" s="1"/>
  <c r="D95" i="22"/>
  <c r="J96" i="22" s="1"/>
  <c r="D95" i="3"/>
  <c r="J96" i="3" s="1"/>
  <c r="D95" i="10"/>
  <c r="J96" i="10" s="1"/>
  <c r="D95" i="5"/>
  <c r="J96" i="5" s="1"/>
  <c r="D95" i="40"/>
  <c r="J96" i="40" s="1"/>
  <c r="D95" i="4"/>
  <c r="J96" i="4" s="1"/>
  <c r="D95" i="31"/>
  <c r="J96" i="31" s="1"/>
  <c r="E102" i="31" s="1"/>
  <c r="F102" i="31" s="1"/>
  <c r="D95" i="7"/>
  <c r="J96" i="7" s="1"/>
  <c r="D95" i="24"/>
  <c r="J96" i="24" s="1"/>
  <c r="D95" i="27"/>
  <c r="J96" i="27" s="1"/>
  <c r="D95" i="39"/>
  <c r="J96" i="39" s="1"/>
  <c r="E99" i="39" s="1"/>
  <c r="D95" i="25"/>
  <c r="J96" i="25" s="1"/>
  <c r="D95" i="11"/>
  <c r="J96" i="11" s="1"/>
  <c r="D95" i="23"/>
  <c r="J96" i="23" s="1"/>
  <c r="D95" i="38"/>
  <c r="J96" i="38" s="1"/>
  <c r="E99" i="38" s="1"/>
  <c r="F99" i="38" s="1"/>
  <c r="D95" i="42"/>
  <c r="D95" i="6"/>
  <c r="J96" i="6" s="1"/>
  <c r="D95" i="41"/>
  <c r="D95" i="43"/>
  <c r="D95" i="29"/>
  <c r="J96" i="29" s="1"/>
  <c r="E102" i="29" s="1"/>
  <c r="F102" i="29" s="1"/>
  <c r="E103" i="29" s="1"/>
  <c r="D95" i="45"/>
  <c r="D95" i="13"/>
  <c r="O87" i="45"/>
  <c r="O89" i="45" s="1"/>
  <c r="L44" i="17"/>
  <c r="V44" i="17" s="1"/>
  <c r="V45" i="17"/>
  <c r="O87" i="3"/>
  <c r="D103" i="29"/>
  <c r="G102" i="29"/>
  <c r="C127" i="5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N5" i="29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99" i="41"/>
  <c r="C100" i="41" s="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N89" i="42"/>
  <c r="O88" i="42"/>
  <c r="O89" i="42" s="1"/>
  <c r="E22" i="31"/>
  <c r="N5" i="3"/>
  <c r="N7" i="3" s="1"/>
  <c r="F19" i="37"/>
  <c r="F31" i="7"/>
  <c r="H31" i="7" s="1"/>
  <c r="B31" i="7"/>
  <c r="D24" i="29"/>
  <c r="E24" i="29"/>
  <c r="I19" i="39"/>
  <c r="N6" i="39"/>
  <c r="J96" i="41"/>
  <c r="E99" i="41"/>
  <c r="F28" i="3"/>
  <c r="H28" i="3" s="1"/>
  <c r="B28" i="3"/>
  <c r="B30" i="11"/>
  <c r="F30" i="11"/>
  <c r="H30" i="11" s="1"/>
  <c r="F22" i="28"/>
  <c r="N5" i="7"/>
  <c r="N5" i="39"/>
  <c r="G102" i="31"/>
  <c r="D103" i="31"/>
  <c r="E103" i="31"/>
  <c r="J96" i="45"/>
  <c r="E99" i="45"/>
  <c r="B19" i="40"/>
  <c r="F19" i="40"/>
  <c r="G19" i="40" s="1"/>
  <c r="I29" i="11"/>
  <c r="N6" i="11"/>
  <c r="F19" i="38"/>
  <c r="N5" i="4"/>
  <c r="N6" i="43"/>
  <c r="N5" i="11"/>
  <c r="L86" i="13"/>
  <c r="N87" i="13"/>
  <c r="M87" i="13"/>
  <c r="M89" i="40"/>
  <c r="O88" i="40"/>
  <c r="C127" i="10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N6" i="40"/>
  <c r="I18" i="40"/>
  <c r="N6" i="29"/>
  <c r="I22" i="29"/>
  <c r="F28" i="8"/>
  <c r="B28" i="4"/>
  <c r="F28" i="4"/>
  <c r="H28" i="4" s="1"/>
  <c r="N5" i="41"/>
  <c r="I27" i="3"/>
  <c r="F20" i="39"/>
  <c r="G20" i="39" s="1"/>
  <c r="B20" i="39"/>
  <c r="E33" i="2"/>
  <c r="E37" i="2" s="1"/>
  <c r="F54" i="2" s="1"/>
  <c r="N5" i="40"/>
  <c r="F24" i="24"/>
  <c r="N6" i="4"/>
  <c r="I27" i="4"/>
  <c r="F26" i="22"/>
  <c r="B28" i="5"/>
  <c r="F30" i="10"/>
  <c r="F20" i="13"/>
  <c r="H20" i="13" s="1"/>
  <c r="B20" i="13"/>
  <c r="I18" i="41"/>
  <c r="F26" i="25"/>
  <c r="F21" i="30"/>
  <c r="N5" i="43"/>
  <c r="L86" i="29"/>
  <c r="M87" i="29"/>
  <c r="N87" i="29"/>
  <c r="F55" i="2"/>
  <c r="F18" i="42"/>
  <c r="G23" i="29"/>
  <c r="F25" i="23"/>
  <c r="I27" i="5"/>
  <c r="N6" i="5"/>
  <c r="N5" i="13"/>
  <c r="F19" i="41"/>
  <c r="G19" i="41" s="1"/>
  <c r="B19" i="41"/>
  <c r="F18" i="45"/>
  <c r="C99" i="39"/>
  <c r="F99" i="39" s="1"/>
  <c r="O87" i="44"/>
  <c r="O89" i="44" s="1"/>
  <c r="N89" i="44"/>
  <c r="O87" i="6"/>
  <c r="I30" i="7"/>
  <c r="N6" i="7"/>
  <c r="H23" i="29"/>
  <c r="N5" i="5"/>
  <c r="G44" i="17"/>
  <c r="V42" i="17"/>
  <c r="G43" i="17"/>
  <c r="E41" i="17"/>
  <c r="E22" i="17"/>
  <c r="E20" i="17"/>
  <c r="E38" i="17"/>
  <c r="E19" i="17"/>
  <c r="F18" i="17"/>
  <c r="E33" i="17"/>
  <c r="I39" i="17"/>
  <c r="E40" i="17"/>
  <c r="E39" i="17"/>
  <c r="E18" i="17"/>
  <c r="I43" i="17"/>
  <c r="E42" i="17"/>
  <c r="E26" i="17"/>
  <c r="N17" i="2" l="1"/>
  <c r="R132" i="2" s="1"/>
  <c r="B19" i="43"/>
  <c r="O89" i="40"/>
  <c r="J96" i="43"/>
  <c r="E99" i="43" s="1"/>
  <c r="E99" i="42"/>
  <c r="N7" i="42"/>
  <c r="E99" i="44"/>
  <c r="H20" i="39"/>
  <c r="N7" i="40"/>
  <c r="C99" i="43"/>
  <c r="C100" i="43" s="1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I23" i="29"/>
  <c r="G31" i="7"/>
  <c r="I31" i="7" s="1"/>
  <c r="J96" i="37"/>
  <c r="E99" i="37" s="1"/>
  <c r="F99" i="37" s="1"/>
  <c r="E100" i="37" s="1"/>
  <c r="C103" i="44"/>
  <c r="C107" i="44"/>
  <c r="C100" i="44"/>
  <c r="C104" i="44"/>
  <c r="C108" i="44"/>
  <c r="C112" i="44"/>
  <c r="C116" i="44"/>
  <c r="C120" i="44"/>
  <c r="C124" i="44"/>
  <c r="C128" i="44"/>
  <c r="C132" i="44"/>
  <c r="C136" i="44"/>
  <c r="C140" i="44"/>
  <c r="C144" i="44"/>
  <c r="C148" i="44"/>
  <c r="C152" i="44"/>
  <c r="C106" i="44"/>
  <c r="C113" i="44"/>
  <c r="C118" i="44"/>
  <c r="C123" i="44"/>
  <c r="C129" i="44"/>
  <c r="C134" i="44"/>
  <c r="C139" i="44"/>
  <c r="C145" i="44"/>
  <c r="C150" i="44"/>
  <c r="C99" i="44"/>
  <c r="C101" i="44"/>
  <c r="C109" i="44"/>
  <c r="C114" i="44"/>
  <c r="C119" i="44"/>
  <c r="C125" i="44"/>
  <c r="C130" i="44"/>
  <c r="C135" i="44"/>
  <c r="C141" i="44"/>
  <c r="C146" i="44"/>
  <c r="C151" i="44"/>
  <c r="C138" i="44"/>
  <c r="C102" i="44"/>
  <c r="C110" i="44"/>
  <c r="C115" i="44"/>
  <c r="C121" i="44"/>
  <c r="C126" i="44"/>
  <c r="C131" i="44"/>
  <c r="C137" i="44"/>
  <c r="C142" i="44"/>
  <c r="C147" i="44"/>
  <c r="C153" i="44"/>
  <c r="C111" i="44"/>
  <c r="C122" i="44"/>
  <c r="C133" i="44"/>
  <c r="C149" i="44"/>
  <c r="C105" i="44"/>
  <c r="C117" i="44"/>
  <c r="C127" i="44"/>
  <c r="C143" i="44"/>
  <c r="C154" i="44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01" i="45"/>
  <c r="C105" i="45"/>
  <c r="C109" i="45"/>
  <c r="C113" i="45"/>
  <c r="C117" i="45"/>
  <c r="C121" i="45"/>
  <c r="C125" i="45"/>
  <c r="C129" i="45"/>
  <c r="C133" i="45"/>
  <c r="C137" i="45"/>
  <c r="C141" i="45"/>
  <c r="C145" i="45"/>
  <c r="C149" i="45"/>
  <c r="C153" i="45"/>
  <c r="C100" i="45"/>
  <c r="C132" i="45"/>
  <c r="C148" i="45"/>
  <c r="C102" i="45"/>
  <c r="C106" i="45"/>
  <c r="C110" i="45"/>
  <c r="C114" i="45"/>
  <c r="C118" i="45"/>
  <c r="C122" i="45"/>
  <c r="C126" i="45"/>
  <c r="C130" i="45"/>
  <c r="C134" i="45"/>
  <c r="C138" i="45"/>
  <c r="C142" i="45"/>
  <c r="C146" i="45"/>
  <c r="C150" i="45"/>
  <c r="C154" i="45"/>
  <c r="C103" i="45"/>
  <c r="C107" i="45"/>
  <c r="C111" i="45"/>
  <c r="C119" i="45"/>
  <c r="C123" i="45"/>
  <c r="C127" i="45"/>
  <c r="C131" i="45"/>
  <c r="C139" i="45"/>
  <c r="C143" i="45"/>
  <c r="C147" i="45"/>
  <c r="C99" i="45"/>
  <c r="F99" i="45" s="1"/>
  <c r="C108" i="45"/>
  <c r="C128" i="45"/>
  <c r="C144" i="45"/>
  <c r="C115" i="45"/>
  <c r="C135" i="45"/>
  <c r="C151" i="45"/>
  <c r="C112" i="45"/>
  <c r="C120" i="45"/>
  <c r="C140" i="45"/>
  <c r="C104" i="45"/>
  <c r="C116" i="45"/>
  <c r="C124" i="45"/>
  <c r="C136" i="45"/>
  <c r="C152" i="45"/>
  <c r="C99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04" i="42"/>
  <c r="C107" i="42"/>
  <c r="C123" i="42"/>
  <c r="C138" i="42"/>
  <c r="C154" i="42"/>
  <c r="C111" i="42"/>
  <c r="C127" i="42"/>
  <c r="C142" i="42"/>
  <c r="C103" i="42"/>
  <c r="C115" i="42"/>
  <c r="C131" i="42"/>
  <c r="C146" i="42"/>
  <c r="C119" i="42"/>
  <c r="C135" i="42"/>
  <c r="C150" i="42"/>
  <c r="C153" i="42"/>
  <c r="C137" i="42"/>
  <c r="C122" i="42"/>
  <c r="C106" i="42"/>
  <c r="C144" i="42"/>
  <c r="C129" i="42"/>
  <c r="C113" i="42"/>
  <c r="C100" i="42"/>
  <c r="C139" i="42"/>
  <c r="C124" i="42"/>
  <c r="C108" i="42"/>
  <c r="C149" i="42"/>
  <c r="C134" i="42"/>
  <c r="C118" i="42"/>
  <c r="C101" i="42"/>
  <c r="C140" i="42"/>
  <c r="C125" i="42"/>
  <c r="C109" i="42"/>
  <c r="C151" i="42"/>
  <c r="C136" i="42"/>
  <c r="C120" i="42"/>
  <c r="C145" i="42"/>
  <c r="C130" i="42"/>
  <c r="C114" i="42"/>
  <c r="C152" i="42"/>
  <c r="C99" i="42"/>
  <c r="F99" i="42" s="1"/>
  <c r="C121" i="42"/>
  <c r="C105" i="42"/>
  <c r="C147" i="42"/>
  <c r="C132" i="42"/>
  <c r="C116" i="42"/>
  <c r="C102" i="42"/>
  <c r="C141" i="42"/>
  <c r="C126" i="42"/>
  <c r="C110" i="42"/>
  <c r="C148" i="42"/>
  <c r="C133" i="42"/>
  <c r="C117" i="42"/>
  <c r="C143" i="42"/>
  <c r="C128" i="42"/>
  <c r="C112" i="42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D100" i="13"/>
  <c r="B100" i="13" s="1"/>
  <c r="G99" i="13"/>
  <c r="C99" i="37"/>
  <c r="C100" i="37" s="1"/>
  <c r="C101" i="37" s="1"/>
  <c r="C102" i="37" s="1"/>
  <c r="C103" i="37" s="1"/>
  <c r="C104" i="37" s="1"/>
  <c r="C105" i="37" s="1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25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F53" i="1"/>
  <c r="E30" i="1"/>
  <c r="E33" i="1" s="1"/>
  <c r="E37" i="1" s="1"/>
  <c r="F54" i="1" s="1"/>
  <c r="F55" i="1" s="1"/>
  <c r="V43" i="17"/>
  <c r="H29" i="9"/>
  <c r="D30" i="9"/>
  <c r="G29" i="9"/>
  <c r="N5" i="9" s="1"/>
  <c r="H17" i="13"/>
  <c r="H18" i="13"/>
  <c r="I18" i="13" s="1"/>
  <c r="H19" i="13"/>
  <c r="N7" i="41"/>
  <c r="N7" i="39"/>
  <c r="F23" i="27"/>
  <c r="H23" i="27" s="1"/>
  <c r="H28" i="6"/>
  <c r="G28" i="6"/>
  <c r="N5" i="6" s="1"/>
  <c r="D29" i="6"/>
  <c r="I17" i="13"/>
  <c r="H19" i="41"/>
  <c r="G20" i="13"/>
  <c r="I20" i="13" s="1"/>
  <c r="B23" i="27"/>
  <c r="G23" i="27"/>
  <c r="N5" i="27" s="1"/>
  <c r="G18" i="44"/>
  <c r="D19" i="44"/>
  <c r="H18" i="44"/>
  <c r="N7" i="7"/>
  <c r="C100" i="39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E30" i="9"/>
  <c r="F30" i="9" s="1"/>
  <c r="D99" i="7"/>
  <c r="E29" i="6"/>
  <c r="E108" i="6"/>
  <c r="F108" i="6" s="1"/>
  <c r="E109" i="6" s="1"/>
  <c r="E109" i="11"/>
  <c r="F109" i="11" s="1"/>
  <c r="E110" i="11" s="1"/>
  <c r="E104" i="24"/>
  <c r="F104" i="24" s="1"/>
  <c r="E105" i="24"/>
  <c r="E99" i="40"/>
  <c r="F99" i="40" s="1"/>
  <c r="E100" i="40" s="1"/>
  <c r="E106" i="22"/>
  <c r="F106" i="22" s="1"/>
  <c r="E101" i="30"/>
  <c r="F101" i="30" s="1"/>
  <c r="E102" i="30" s="1"/>
  <c r="E106" i="25"/>
  <c r="F106" i="25" s="1"/>
  <c r="E110" i="7"/>
  <c r="F110" i="7" s="1"/>
  <c r="E111" i="7" s="1"/>
  <c r="E107" i="5"/>
  <c r="F107" i="5" s="1"/>
  <c r="E108" i="5"/>
  <c r="E102" i="28"/>
  <c r="F102" i="28" s="1"/>
  <c r="E103" i="28" s="1"/>
  <c r="E109" i="9"/>
  <c r="F109" i="9" s="1"/>
  <c r="E100" i="38"/>
  <c r="G99" i="38"/>
  <c r="D100" i="38"/>
  <c r="E110" i="10"/>
  <c r="F110" i="10" s="1"/>
  <c r="E105" i="23"/>
  <c r="F105" i="23" s="1"/>
  <c r="E106" i="23" s="1"/>
  <c r="E103" i="27"/>
  <c r="F103" i="27" s="1"/>
  <c r="E107" i="4"/>
  <c r="F107" i="4" s="1"/>
  <c r="E108" i="4"/>
  <c r="E107" i="3"/>
  <c r="F107" i="3" s="1"/>
  <c r="E108" i="3" s="1"/>
  <c r="E108" i="8"/>
  <c r="F108" i="8" s="1"/>
  <c r="H102" i="29"/>
  <c r="M88" i="29" s="1"/>
  <c r="M89" i="29" s="1"/>
  <c r="I102" i="29"/>
  <c r="B103" i="29"/>
  <c r="F103" i="29"/>
  <c r="O87" i="13"/>
  <c r="G18" i="17"/>
  <c r="V39" i="17"/>
  <c r="C127" i="23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39"/>
  <c r="E100" i="39"/>
  <c r="G99" i="39"/>
  <c r="D29" i="5"/>
  <c r="E29" i="5"/>
  <c r="H24" i="24"/>
  <c r="D25" i="24"/>
  <c r="G24" i="24"/>
  <c r="E25" i="24"/>
  <c r="D29" i="3"/>
  <c r="E29" i="3"/>
  <c r="B24" i="29"/>
  <c r="F24" i="29"/>
  <c r="G24" i="29" s="1"/>
  <c r="G18" i="45"/>
  <c r="D19" i="45"/>
  <c r="H18" i="45"/>
  <c r="E19" i="45"/>
  <c r="N7" i="5"/>
  <c r="D21" i="13"/>
  <c r="H19" i="40"/>
  <c r="F62" i="2"/>
  <c r="F65" i="2" s="1"/>
  <c r="F67" i="2" s="1"/>
  <c r="F69" i="2" s="1"/>
  <c r="H28" i="8"/>
  <c r="G28" i="8"/>
  <c r="D29" i="8"/>
  <c r="E29" i="8"/>
  <c r="F99" i="43"/>
  <c r="G21" i="30"/>
  <c r="D22" i="30"/>
  <c r="H21" i="30"/>
  <c r="E22" i="30"/>
  <c r="H26" i="22"/>
  <c r="D27" i="22"/>
  <c r="G26" i="22"/>
  <c r="E27" i="22"/>
  <c r="D29" i="4"/>
  <c r="E29" i="4"/>
  <c r="N7" i="29"/>
  <c r="H19" i="38"/>
  <c r="G19" i="38"/>
  <c r="D20" i="38"/>
  <c r="E20" i="38"/>
  <c r="F22" i="31"/>
  <c r="D20" i="43"/>
  <c r="E20" i="43"/>
  <c r="D21" i="39"/>
  <c r="E21" i="39"/>
  <c r="E31" i="11"/>
  <c r="D31" i="11"/>
  <c r="O17" i="2"/>
  <c r="D20" i="41"/>
  <c r="E20" i="41"/>
  <c r="H18" i="42"/>
  <c r="D19" i="42"/>
  <c r="G18" i="42"/>
  <c r="E19" i="42"/>
  <c r="G19" i="43"/>
  <c r="H26" i="25"/>
  <c r="G26" i="25"/>
  <c r="D27" i="25"/>
  <c r="E27" i="25"/>
  <c r="G28" i="4"/>
  <c r="I28" i="4" s="1"/>
  <c r="B103" i="31"/>
  <c r="F103" i="31"/>
  <c r="G30" i="11"/>
  <c r="I30" i="11" s="1"/>
  <c r="D32" i="7"/>
  <c r="E32" i="7"/>
  <c r="F99" i="41"/>
  <c r="E100" i="41" s="1"/>
  <c r="G19" i="37"/>
  <c r="D20" i="37"/>
  <c r="H19" i="37"/>
  <c r="E20" i="37"/>
  <c r="I19" i="41"/>
  <c r="D26" i="23"/>
  <c r="G25" i="23"/>
  <c r="H25" i="23"/>
  <c r="E26" i="23"/>
  <c r="O87" i="29"/>
  <c r="G30" i="10"/>
  <c r="D31" i="10"/>
  <c r="H30" i="10"/>
  <c r="E31" i="10"/>
  <c r="N7" i="43"/>
  <c r="N7" i="11"/>
  <c r="H102" i="31"/>
  <c r="I102" i="31"/>
  <c r="I20" i="39"/>
  <c r="D20" i="40"/>
  <c r="E20" i="40"/>
  <c r="H19" i="43"/>
  <c r="H28" i="5"/>
  <c r="N7" i="4"/>
  <c r="H22" i="28"/>
  <c r="G22" i="28"/>
  <c r="D23" i="28"/>
  <c r="E23" i="28"/>
  <c r="G28" i="3"/>
  <c r="I28" i="3" s="1"/>
  <c r="F39" i="17"/>
  <c r="E31" i="17"/>
  <c r="F42" i="17"/>
  <c r="F20" i="17"/>
  <c r="F22" i="17"/>
  <c r="F19" i="17"/>
  <c r="E21" i="17"/>
  <c r="F40" i="17"/>
  <c r="F33" i="17"/>
  <c r="E24" i="17"/>
  <c r="F41" i="17"/>
  <c r="F26" i="17"/>
  <c r="F38" i="17"/>
  <c r="I33" i="17"/>
  <c r="G41" i="17" l="1"/>
  <c r="F99" i="44"/>
  <c r="G99" i="44" s="1"/>
  <c r="G39" i="17"/>
  <c r="D100" i="42"/>
  <c r="B100" i="42" s="1"/>
  <c r="G99" i="42"/>
  <c r="F62" i="1"/>
  <c r="F65" i="1" s="1"/>
  <c r="F67" i="1" s="1"/>
  <c r="F69" i="1" s="1"/>
  <c r="F70" i="1" s="1"/>
  <c r="F71" i="1" s="1"/>
  <c r="F56" i="1" s="1"/>
  <c r="F57" i="1" s="1"/>
  <c r="F59" i="1" s="1"/>
  <c r="F79" i="1" s="1"/>
  <c r="F80" i="1" s="1"/>
  <c r="F82" i="1" s="1"/>
  <c r="F76" i="1"/>
  <c r="F77" i="1" s="1"/>
  <c r="E100" i="13"/>
  <c r="F100" i="13" s="1"/>
  <c r="I99" i="13"/>
  <c r="H99" i="13"/>
  <c r="D100" i="44"/>
  <c r="E100" i="44" s="1"/>
  <c r="G38" i="17"/>
  <c r="G40" i="17"/>
  <c r="G22" i="17"/>
  <c r="I23" i="27"/>
  <c r="N6" i="27"/>
  <c r="N7" i="27" s="1"/>
  <c r="D31" i="9"/>
  <c r="E31" i="9"/>
  <c r="B19" i="44"/>
  <c r="F19" i="44"/>
  <c r="G19" i="44" s="1"/>
  <c r="B29" i="6"/>
  <c r="F29" i="6"/>
  <c r="G29" i="6" s="1"/>
  <c r="N6" i="13"/>
  <c r="N7" i="13" s="1"/>
  <c r="I19" i="13"/>
  <c r="B30" i="9"/>
  <c r="G30" i="9"/>
  <c r="H30" i="9"/>
  <c r="I30" i="9" s="1"/>
  <c r="I18" i="44"/>
  <c r="N6" i="9"/>
  <c r="N7" i="9" s="1"/>
  <c r="I29" i="9"/>
  <c r="N6" i="6"/>
  <c r="N7" i="6" s="1"/>
  <c r="I28" i="6"/>
  <c r="D24" i="27"/>
  <c r="E24" i="27"/>
  <c r="G108" i="8"/>
  <c r="D109" i="8"/>
  <c r="G103" i="27"/>
  <c r="D104" i="27"/>
  <c r="B104" i="27" s="1"/>
  <c r="F100" i="38"/>
  <c r="B100" i="38"/>
  <c r="E110" i="9"/>
  <c r="G109" i="9"/>
  <c r="D110" i="9"/>
  <c r="G106" i="25"/>
  <c r="D107" i="25"/>
  <c r="G106" i="22"/>
  <c r="D107" i="22"/>
  <c r="D108" i="4"/>
  <c r="G107" i="4"/>
  <c r="H99" i="38"/>
  <c r="M88" i="38" s="1"/>
  <c r="M89" i="38" s="1"/>
  <c r="I99" i="38"/>
  <c r="N88" i="38" s="1"/>
  <c r="D108" i="5"/>
  <c r="G107" i="5"/>
  <c r="E107" i="25"/>
  <c r="E107" i="22"/>
  <c r="D105" i="24"/>
  <c r="G104" i="24"/>
  <c r="G105" i="23"/>
  <c r="D106" i="23"/>
  <c r="G110" i="10"/>
  <c r="D111" i="10"/>
  <c r="D109" i="6"/>
  <c r="G108" i="6"/>
  <c r="E109" i="8"/>
  <c r="D108" i="3"/>
  <c r="G107" i="3"/>
  <c r="E104" i="27"/>
  <c r="G99" i="37"/>
  <c r="D100" i="37"/>
  <c r="E111" i="10"/>
  <c r="G102" i="28"/>
  <c r="D103" i="28"/>
  <c r="D111" i="7"/>
  <c r="G110" i="7"/>
  <c r="D102" i="30"/>
  <c r="G101" i="30"/>
  <c r="D100" i="40"/>
  <c r="G99" i="40"/>
  <c r="D110" i="11"/>
  <c r="G109" i="11"/>
  <c r="J102" i="29"/>
  <c r="N88" i="29"/>
  <c r="G103" i="29"/>
  <c r="D104" i="29"/>
  <c r="E104" i="29"/>
  <c r="V33" i="17"/>
  <c r="G20" i="17"/>
  <c r="G19" i="17"/>
  <c r="G42" i="17"/>
  <c r="G26" i="17"/>
  <c r="G33" i="17"/>
  <c r="F22" i="30"/>
  <c r="H22" i="30" s="1"/>
  <c r="G22" i="30"/>
  <c r="B22" i="30"/>
  <c r="N6" i="10"/>
  <c r="I30" i="10"/>
  <c r="B29" i="4"/>
  <c r="F29" i="4"/>
  <c r="G29" i="4" s="1"/>
  <c r="N5" i="30"/>
  <c r="F25" i="24"/>
  <c r="G25" i="24" s="1"/>
  <c r="H25" i="24"/>
  <c r="B25" i="24"/>
  <c r="I99" i="39"/>
  <c r="H99" i="39"/>
  <c r="F31" i="10"/>
  <c r="H31" i="10" s="1"/>
  <c r="B31" i="10"/>
  <c r="N5" i="23"/>
  <c r="F20" i="37"/>
  <c r="G20" i="37" s="1"/>
  <c r="B20" i="37"/>
  <c r="B21" i="39"/>
  <c r="F21" i="39"/>
  <c r="G21" i="39" s="1"/>
  <c r="F29" i="8"/>
  <c r="H29" i="8" s="1"/>
  <c r="B29" i="8"/>
  <c r="I19" i="40"/>
  <c r="H24" i="29"/>
  <c r="B29" i="3"/>
  <c r="F29" i="3"/>
  <c r="H29" i="3" s="1"/>
  <c r="N6" i="24"/>
  <c r="I24" i="24"/>
  <c r="G99" i="43"/>
  <c r="D100" i="43"/>
  <c r="E100" i="43"/>
  <c r="N5" i="8"/>
  <c r="F100" i="39"/>
  <c r="B100" i="39"/>
  <c r="B20" i="43"/>
  <c r="F20" i="43"/>
  <c r="H20" i="43" s="1"/>
  <c r="B21" i="13"/>
  <c r="D25" i="29"/>
  <c r="E25" i="29"/>
  <c r="F26" i="23"/>
  <c r="G26" i="23" s="1"/>
  <c r="B26" i="23"/>
  <c r="I28" i="5"/>
  <c r="J102" i="31"/>
  <c r="N88" i="31"/>
  <c r="B19" i="42"/>
  <c r="F19" i="42"/>
  <c r="H19" i="42" s="1"/>
  <c r="B31" i="11"/>
  <c r="F31" i="11"/>
  <c r="G31" i="11" s="1"/>
  <c r="F27" i="22"/>
  <c r="G27" i="22" s="1"/>
  <c r="B27" i="22"/>
  <c r="N6" i="8"/>
  <c r="I28" i="8"/>
  <c r="F29" i="5"/>
  <c r="G29" i="5" s="1"/>
  <c r="B29" i="5"/>
  <c r="N5" i="24"/>
  <c r="I19" i="37"/>
  <c r="N6" i="37"/>
  <c r="B20" i="40"/>
  <c r="F20" i="40"/>
  <c r="H20" i="40" s="1"/>
  <c r="N5" i="37"/>
  <c r="B23" i="28"/>
  <c r="F23" i="28"/>
  <c r="G23" i="28" s="1"/>
  <c r="I18" i="42"/>
  <c r="B20" i="38"/>
  <c r="F20" i="38"/>
  <c r="G20" i="38" s="1"/>
  <c r="P17" i="2"/>
  <c r="R133" i="2"/>
  <c r="N6" i="23"/>
  <c r="I25" i="23"/>
  <c r="N5" i="10"/>
  <c r="B32" i="7"/>
  <c r="F32" i="7"/>
  <c r="H32" i="7" s="1"/>
  <c r="H22" i="31"/>
  <c r="G22" i="31"/>
  <c r="D23" i="31"/>
  <c r="E23" i="31"/>
  <c r="N5" i="22"/>
  <c r="M88" i="31"/>
  <c r="M89" i="31" s="1"/>
  <c r="B27" i="25"/>
  <c r="F27" i="25"/>
  <c r="G27" i="25" s="1"/>
  <c r="N6" i="22"/>
  <c r="I26" i="22"/>
  <c r="I18" i="45"/>
  <c r="N5" i="28"/>
  <c r="I19" i="43"/>
  <c r="D104" i="31"/>
  <c r="G103" i="31"/>
  <c r="E104" i="31"/>
  <c r="N5" i="25"/>
  <c r="N5" i="38"/>
  <c r="F70" i="2"/>
  <c r="F71" i="2" s="1"/>
  <c r="F56" i="2" s="1"/>
  <c r="F57" i="2" s="1"/>
  <c r="B19" i="45"/>
  <c r="F19" i="45"/>
  <c r="G19" i="45" s="1"/>
  <c r="N6" i="28"/>
  <c r="N7" i="28" s="1"/>
  <c r="I22" i="28"/>
  <c r="G99" i="45"/>
  <c r="D100" i="45"/>
  <c r="G99" i="41"/>
  <c r="D100" i="41"/>
  <c r="I26" i="25"/>
  <c r="N6" i="25"/>
  <c r="N7" i="25" s="1"/>
  <c r="F20" i="41"/>
  <c r="H20" i="41" s="1"/>
  <c r="B20" i="41"/>
  <c r="N6" i="38"/>
  <c r="I19" i="38"/>
  <c r="I21" i="30"/>
  <c r="N6" i="30"/>
  <c r="N7" i="30" s="1"/>
  <c r="E21" i="13"/>
  <c r="F21" i="13" s="1"/>
  <c r="F21" i="17"/>
  <c r="E36" i="17"/>
  <c r="I37" i="17"/>
  <c r="F34" i="17"/>
  <c r="E25" i="17"/>
  <c r="E23" i="17"/>
  <c r="F31" i="17"/>
  <c r="I35" i="17"/>
  <c r="E27" i="17"/>
  <c r="E29" i="17"/>
  <c r="E37" i="17"/>
  <c r="E32" i="17"/>
  <c r="E30" i="17"/>
  <c r="F30" i="17"/>
  <c r="E28" i="17"/>
  <c r="F24" i="17"/>
  <c r="F32" i="17"/>
  <c r="E34" i="17"/>
  <c r="E100" i="42" l="1"/>
  <c r="F100" i="42" s="1"/>
  <c r="I20" i="43"/>
  <c r="N7" i="38"/>
  <c r="N7" i="23"/>
  <c r="G20" i="43"/>
  <c r="H23" i="28"/>
  <c r="I23" i="28" s="1"/>
  <c r="H27" i="22"/>
  <c r="I27" i="22" s="1"/>
  <c r="J99" i="13"/>
  <c r="I99" i="44"/>
  <c r="H99" i="44"/>
  <c r="D101" i="13"/>
  <c r="G100" i="13"/>
  <c r="I99" i="42"/>
  <c r="H99" i="42"/>
  <c r="J99" i="42" s="1"/>
  <c r="G32" i="7"/>
  <c r="B100" i="44"/>
  <c r="F100" i="44"/>
  <c r="I22" i="30"/>
  <c r="G21" i="17"/>
  <c r="G31" i="17"/>
  <c r="G24" i="17"/>
  <c r="H19" i="45"/>
  <c r="I19" i="45" s="1"/>
  <c r="G31" i="10"/>
  <c r="B24" i="27"/>
  <c r="F24" i="27"/>
  <c r="G24" i="27"/>
  <c r="F31" i="9"/>
  <c r="G31" i="9" s="1"/>
  <c r="B31" i="9"/>
  <c r="G29" i="3"/>
  <c r="G29" i="8"/>
  <c r="I29" i="8" s="1"/>
  <c r="H21" i="39"/>
  <c r="H29" i="4"/>
  <c r="I29" i="4" s="1"/>
  <c r="H19" i="44"/>
  <c r="I19" i="44" s="1"/>
  <c r="D20" i="44"/>
  <c r="E20" i="44"/>
  <c r="N7" i="37"/>
  <c r="H29" i="5"/>
  <c r="I29" i="5" s="1"/>
  <c r="G19" i="42"/>
  <c r="I19" i="42" s="1"/>
  <c r="H29" i="6"/>
  <c r="I29" i="6" s="1"/>
  <c r="E30" i="6"/>
  <c r="D30" i="6"/>
  <c r="N7" i="10"/>
  <c r="V37" i="17"/>
  <c r="N89" i="38"/>
  <c r="O88" i="38"/>
  <c r="O89" i="38" s="1"/>
  <c r="I99" i="40"/>
  <c r="H99" i="40"/>
  <c r="J99" i="40" s="1"/>
  <c r="H110" i="7"/>
  <c r="M88" i="7" s="1"/>
  <c r="M89" i="7" s="1"/>
  <c r="I110" i="7"/>
  <c r="H107" i="3"/>
  <c r="M88" i="3" s="1"/>
  <c r="M89" i="3" s="1"/>
  <c r="I107" i="3"/>
  <c r="B109" i="6"/>
  <c r="F109" i="6"/>
  <c r="H105" i="23"/>
  <c r="M88" i="23" s="1"/>
  <c r="M89" i="23" s="1"/>
  <c r="I105" i="23"/>
  <c r="H106" i="22"/>
  <c r="M88" i="22" s="1"/>
  <c r="M89" i="22" s="1"/>
  <c r="I106" i="22"/>
  <c r="H109" i="9"/>
  <c r="M88" i="9" s="1"/>
  <c r="M89" i="9" s="1"/>
  <c r="I109" i="9"/>
  <c r="B100" i="40"/>
  <c r="F100" i="40"/>
  <c r="B111" i="7"/>
  <c r="F111" i="7"/>
  <c r="B100" i="37"/>
  <c r="F100" i="37"/>
  <c r="B108" i="3"/>
  <c r="F108" i="3"/>
  <c r="B111" i="10"/>
  <c r="F111" i="10"/>
  <c r="H104" i="24"/>
  <c r="M88" i="24" s="1"/>
  <c r="M89" i="24" s="1"/>
  <c r="I104" i="24"/>
  <c r="H107" i="5"/>
  <c r="M88" i="5" s="1"/>
  <c r="M89" i="5" s="1"/>
  <c r="I107" i="5"/>
  <c r="H107" i="4"/>
  <c r="M88" i="4" s="1"/>
  <c r="M89" i="4" s="1"/>
  <c r="I107" i="4"/>
  <c r="F107" i="25"/>
  <c r="B107" i="25"/>
  <c r="I103" i="27"/>
  <c r="H103" i="27"/>
  <c r="M88" i="27" s="1"/>
  <c r="M89" i="27" s="1"/>
  <c r="H109" i="11"/>
  <c r="M88" i="11" s="1"/>
  <c r="M89" i="11" s="1"/>
  <c r="I109" i="11"/>
  <c r="I101" i="30"/>
  <c r="H101" i="30"/>
  <c r="M88" i="30" s="1"/>
  <c r="M89" i="30" s="1"/>
  <c r="F103" i="28"/>
  <c r="B103" i="28"/>
  <c r="I99" i="37"/>
  <c r="H99" i="37"/>
  <c r="M88" i="37" s="1"/>
  <c r="M89" i="37" s="1"/>
  <c r="H110" i="10"/>
  <c r="M88" i="10" s="1"/>
  <c r="M89" i="10" s="1"/>
  <c r="I110" i="10"/>
  <c r="F105" i="24"/>
  <c r="B105" i="24"/>
  <c r="F108" i="5"/>
  <c r="B108" i="5"/>
  <c r="F108" i="4"/>
  <c r="B108" i="4"/>
  <c r="H106" i="25"/>
  <c r="M88" i="25" s="1"/>
  <c r="M89" i="25" s="1"/>
  <c r="I106" i="25"/>
  <c r="F109" i="8"/>
  <c r="B109" i="8"/>
  <c r="B110" i="11"/>
  <c r="F110" i="11"/>
  <c r="B102" i="30"/>
  <c r="F102" i="30"/>
  <c r="H102" i="28"/>
  <c r="M88" i="28" s="1"/>
  <c r="M89" i="28" s="1"/>
  <c r="I102" i="28"/>
  <c r="F104" i="27"/>
  <c r="H108" i="6"/>
  <c r="M88" i="6" s="1"/>
  <c r="M89" i="6" s="1"/>
  <c r="I108" i="6"/>
  <c r="B106" i="23"/>
  <c r="F106" i="23"/>
  <c r="J99" i="38"/>
  <c r="F107" i="22"/>
  <c r="B107" i="22"/>
  <c r="F110" i="9"/>
  <c r="B110" i="9"/>
  <c r="D101" i="38"/>
  <c r="E101" i="38"/>
  <c r="G100" i="38"/>
  <c r="I108" i="8"/>
  <c r="H108" i="8"/>
  <c r="M88" i="8" s="1"/>
  <c r="M89" i="8" s="1"/>
  <c r="O88" i="29"/>
  <c r="O89" i="29" s="1"/>
  <c r="N89" i="29"/>
  <c r="F104" i="29"/>
  <c r="B104" i="29"/>
  <c r="I103" i="29"/>
  <c r="H103" i="29"/>
  <c r="J103" i="29" s="1"/>
  <c r="G32" i="17"/>
  <c r="G34" i="17"/>
  <c r="V35" i="17"/>
  <c r="G30" i="17"/>
  <c r="D22" i="13"/>
  <c r="E22" i="13" s="1"/>
  <c r="H21" i="13"/>
  <c r="G21" i="13"/>
  <c r="F59" i="2"/>
  <c r="F79" i="2" s="1"/>
  <c r="F80" i="2" s="1"/>
  <c r="F82" i="2" s="1"/>
  <c r="F76" i="2"/>
  <c r="F77" i="2" s="1"/>
  <c r="D21" i="38"/>
  <c r="E21" i="38"/>
  <c r="N7" i="8"/>
  <c r="D21" i="37"/>
  <c r="E21" i="37"/>
  <c r="D22" i="39"/>
  <c r="E22" i="39"/>
  <c r="N6" i="31"/>
  <c r="I22" i="31"/>
  <c r="D26" i="24"/>
  <c r="E26" i="24"/>
  <c r="H99" i="41"/>
  <c r="I99" i="41"/>
  <c r="F104" i="31"/>
  <c r="B104" i="31"/>
  <c r="B100" i="45"/>
  <c r="D20" i="45"/>
  <c r="E20" i="45"/>
  <c r="N7" i="22"/>
  <c r="D30" i="5"/>
  <c r="E30" i="5"/>
  <c r="H26" i="23"/>
  <c r="G100" i="39"/>
  <c r="D101" i="39"/>
  <c r="E101" i="39"/>
  <c r="B100" i="43"/>
  <c r="F100" i="43"/>
  <c r="M88" i="39"/>
  <c r="M89" i="39" s="1"/>
  <c r="E100" i="45"/>
  <c r="F100" i="45" s="1"/>
  <c r="N5" i="31"/>
  <c r="M19" i="1" s="1"/>
  <c r="I21" i="39"/>
  <c r="D21" i="41"/>
  <c r="E21" i="41"/>
  <c r="H99" i="45"/>
  <c r="I99" i="45"/>
  <c r="E21" i="40"/>
  <c r="D21" i="40"/>
  <c r="I99" i="43"/>
  <c r="H99" i="43"/>
  <c r="N7" i="24"/>
  <c r="J99" i="39"/>
  <c r="N88" i="39"/>
  <c r="D23" i="30"/>
  <c r="E23" i="30"/>
  <c r="F100" i="41"/>
  <c r="B100" i="41"/>
  <c r="D20" i="42"/>
  <c r="E20" i="42"/>
  <c r="I24" i="29"/>
  <c r="G20" i="41"/>
  <c r="I20" i="41" s="1"/>
  <c r="E32" i="11"/>
  <c r="D32" i="11"/>
  <c r="D27" i="23"/>
  <c r="E27" i="23"/>
  <c r="F25" i="29"/>
  <c r="G25" i="29" s="1"/>
  <c r="B25" i="29"/>
  <c r="E30" i="3"/>
  <c r="D30" i="3"/>
  <c r="I31" i="10"/>
  <c r="I103" i="31"/>
  <c r="H103" i="31"/>
  <c r="D28" i="25"/>
  <c r="E28" i="25"/>
  <c r="O88" i="31"/>
  <c r="O89" i="31" s="1"/>
  <c r="N89" i="31"/>
  <c r="I32" i="7"/>
  <c r="E33" i="7"/>
  <c r="D33" i="7"/>
  <c r="D24" i="28"/>
  <c r="E24" i="28"/>
  <c r="G20" i="40"/>
  <c r="D28" i="22"/>
  <c r="E28" i="22"/>
  <c r="D21" i="43"/>
  <c r="E21" i="43"/>
  <c r="D30" i="8"/>
  <c r="E30" i="8"/>
  <c r="H20" i="37"/>
  <c r="D32" i="10"/>
  <c r="E32" i="10"/>
  <c r="I29" i="3"/>
  <c r="I25" i="24"/>
  <c r="H27" i="25"/>
  <c r="F23" i="31"/>
  <c r="G23" i="31"/>
  <c r="H23" i="31"/>
  <c r="B23" i="31"/>
  <c r="H20" i="38"/>
  <c r="I20" i="40"/>
  <c r="H31" i="11"/>
  <c r="D30" i="4"/>
  <c r="E30" i="4"/>
  <c r="F28" i="17"/>
  <c r="I19" i="17"/>
  <c r="I24" i="17"/>
  <c r="F36" i="17"/>
  <c r="I26" i="17"/>
  <c r="F29" i="17"/>
  <c r="I27" i="17"/>
  <c r="I29" i="17"/>
  <c r="I36" i="17"/>
  <c r="F23" i="17"/>
  <c r="I20" i="17"/>
  <c r="I22" i="17"/>
  <c r="I28" i="17"/>
  <c r="I18" i="17"/>
  <c r="I31" i="17"/>
  <c r="I38" i="17"/>
  <c r="I30" i="17"/>
  <c r="I25" i="17"/>
  <c r="F25" i="17"/>
  <c r="I23" i="17"/>
  <c r="E35" i="17"/>
  <c r="I34" i="17"/>
  <c r="I32" i="17"/>
  <c r="F37" i="17"/>
  <c r="I21" i="17"/>
  <c r="F27" i="17"/>
  <c r="G28" i="17" l="1"/>
  <c r="G37" i="17"/>
  <c r="H31" i="9"/>
  <c r="I31" i="9" s="1"/>
  <c r="G100" i="42"/>
  <c r="D101" i="42"/>
  <c r="N7" i="31"/>
  <c r="G100" i="44"/>
  <c r="D101" i="44"/>
  <c r="J99" i="44"/>
  <c r="H100" i="13"/>
  <c r="I100" i="13"/>
  <c r="J100" i="13" s="1"/>
  <c r="I23" i="31"/>
  <c r="E101" i="13"/>
  <c r="F101" i="13" s="1"/>
  <c r="B101" i="13"/>
  <c r="G25" i="17"/>
  <c r="G36" i="17"/>
  <c r="D25" i="27"/>
  <c r="E25" i="27"/>
  <c r="B30" i="6"/>
  <c r="F30" i="6"/>
  <c r="G30" i="6"/>
  <c r="D32" i="9"/>
  <c r="E32" i="9"/>
  <c r="H24" i="27"/>
  <c r="I24" i="27" s="1"/>
  <c r="B20" i="44"/>
  <c r="F20" i="44"/>
  <c r="H20" i="44" s="1"/>
  <c r="V23" i="17"/>
  <c r="V32" i="17"/>
  <c r="V30" i="17"/>
  <c r="V25" i="17"/>
  <c r="V26" i="17"/>
  <c r="V20" i="17"/>
  <c r="V27" i="17"/>
  <c r="V22" i="17"/>
  <c r="V21" i="17"/>
  <c r="V36" i="17"/>
  <c r="V34" i="17"/>
  <c r="V31" i="17"/>
  <c r="V19" i="17"/>
  <c r="V29" i="17"/>
  <c r="V24" i="17"/>
  <c r="V28" i="17"/>
  <c r="G110" i="11"/>
  <c r="E111" i="11"/>
  <c r="D111" i="11"/>
  <c r="J107" i="5"/>
  <c r="N88" i="5"/>
  <c r="G100" i="37"/>
  <c r="D101" i="37"/>
  <c r="E101" i="37"/>
  <c r="N88" i="7"/>
  <c r="J110" i="7"/>
  <c r="F101" i="38"/>
  <c r="B101" i="38"/>
  <c r="G107" i="22"/>
  <c r="D108" i="22"/>
  <c r="E108" i="22"/>
  <c r="N88" i="6"/>
  <c r="J108" i="6"/>
  <c r="G108" i="5"/>
  <c r="D109" i="5"/>
  <c r="E109" i="5"/>
  <c r="D104" i="28"/>
  <c r="B104" i="28" s="1"/>
  <c r="G103" i="28"/>
  <c r="E104" i="28"/>
  <c r="E108" i="25"/>
  <c r="G107" i="25"/>
  <c r="D108" i="25"/>
  <c r="J102" i="28"/>
  <c r="N88" i="28"/>
  <c r="N88" i="11"/>
  <c r="J109" i="11"/>
  <c r="G111" i="10"/>
  <c r="D112" i="10"/>
  <c r="B112" i="10" s="1"/>
  <c r="E112" i="10"/>
  <c r="E101" i="40"/>
  <c r="G100" i="40"/>
  <c r="D101" i="40"/>
  <c r="G109" i="6"/>
  <c r="D110" i="6"/>
  <c r="E110" i="6"/>
  <c r="N88" i="8"/>
  <c r="J108" i="8"/>
  <c r="G102" i="30"/>
  <c r="D103" i="30"/>
  <c r="E103" i="30"/>
  <c r="N88" i="4"/>
  <c r="J107" i="4"/>
  <c r="N88" i="24"/>
  <c r="J104" i="24"/>
  <c r="D109" i="3"/>
  <c r="G108" i="3"/>
  <c r="E109" i="3"/>
  <c r="G111" i="7"/>
  <c r="D112" i="7"/>
  <c r="E112" i="7"/>
  <c r="J109" i="9"/>
  <c r="N88" i="9"/>
  <c r="J105" i="23"/>
  <c r="N88" i="23"/>
  <c r="N88" i="3"/>
  <c r="J107" i="3"/>
  <c r="N88" i="25"/>
  <c r="J106" i="25"/>
  <c r="N88" i="10"/>
  <c r="J110" i="10"/>
  <c r="J106" i="22"/>
  <c r="N88" i="22"/>
  <c r="I100" i="38"/>
  <c r="H100" i="38"/>
  <c r="G110" i="9"/>
  <c r="D111" i="9"/>
  <c r="E111" i="9"/>
  <c r="D107" i="23"/>
  <c r="E107" i="23"/>
  <c r="G106" i="23"/>
  <c r="D105" i="27"/>
  <c r="G104" i="27"/>
  <c r="E105" i="27"/>
  <c r="G109" i="8"/>
  <c r="D110" i="8"/>
  <c r="E110" i="8"/>
  <c r="D109" i="4"/>
  <c r="E109" i="4"/>
  <c r="G108" i="4"/>
  <c r="G105" i="24"/>
  <c r="D106" i="24"/>
  <c r="E106" i="24"/>
  <c r="N88" i="37"/>
  <c r="J99" i="37"/>
  <c r="N88" i="30"/>
  <c r="J101" i="30"/>
  <c r="N88" i="27"/>
  <c r="J103" i="27"/>
  <c r="D105" i="29"/>
  <c r="B105" i="29" s="1"/>
  <c r="G104" i="29"/>
  <c r="E105" i="29"/>
  <c r="F105" i="29" s="1"/>
  <c r="G29" i="17"/>
  <c r="V38" i="17"/>
  <c r="I47" i="17"/>
  <c r="G23" i="17"/>
  <c r="G27" i="17"/>
  <c r="E47" i="17"/>
  <c r="E48" i="17" s="1"/>
  <c r="G100" i="45"/>
  <c r="D101" i="45"/>
  <c r="E101" i="45" s="1"/>
  <c r="F21" i="43"/>
  <c r="G21" i="43" s="1"/>
  <c r="B21" i="43"/>
  <c r="B26" i="24"/>
  <c r="F26" i="24"/>
  <c r="F32" i="10"/>
  <c r="B32" i="10"/>
  <c r="B33" i="7"/>
  <c r="F33" i="7"/>
  <c r="G33" i="7" s="1"/>
  <c r="I26" i="23"/>
  <c r="B27" i="23"/>
  <c r="F27" i="23"/>
  <c r="G27" i="23" s="1"/>
  <c r="G21" i="41"/>
  <c r="F21" i="41"/>
  <c r="H21" i="41" s="1"/>
  <c r="B21" i="41"/>
  <c r="D24" i="31"/>
  <c r="E24" i="31"/>
  <c r="I27" i="25"/>
  <c r="I20" i="37"/>
  <c r="B24" i="28"/>
  <c r="F24" i="28"/>
  <c r="N89" i="39"/>
  <c r="O88" i="39"/>
  <c r="O89" i="39" s="1"/>
  <c r="F101" i="39"/>
  <c r="B101" i="39"/>
  <c r="J99" i="41"/>
  <c r="N19" i="1"/>
  <c r="B20" i="45"/>
  <c r="F20" i="45"/>
  <c r="H20" i="45" s="1"/>
  <c r="I20" i="38"/>
  <c r="F30" i="4"/>
  <c r="G30" i="4" s="1"/>
  <c r="B30" i="4"/>
  <c r="H100" i="39"/>
  <c r="I100" i="39"/>
  <c r="R132" i="1"/>
  <c r="M20" i="1"/>
  <c r="I21" i="13"/>
  <c r="G100" i="41"/>
  <c r="D101" i="41"/>
  <c r="E101" i="41"/>
  <c r="F21" i="37"/>
  <c r="G21" i="37" s="1"/>
  <c r="H21" i="37"/>
  <c r="B21" i="37"/>
  <c r="B30" i="5"/>
  <c r="F30" i="5"/>
  <c r="G104" i="31"/>
  <c r="E105" i="31"/>
  <c r="D105" i="31"/>
  <c r="J103" i="31"/>
  <c r="B23" i="30"/>
  <c r="F23" i="30"/>
  <c r="G23" i="30" s="1"/>
  <c r="F20" i="42"/>
  <c r="B20" i="42"/>
  <c r="B28" i="25"/>
  <c r="F28" i="25"/>
  <c r="G28" i="25" s="1"/>
  <c r="B21" i="40"/>
  <c r="F21" i="40"/>
  <c r="G21" i="40" s="1"/>
  <c r="F30" i="3"/>
  <c r="B30" i="3"/>
  <c r="J99" i="43"/>
  <c r="B32" i="11"/>
  <c r="F32" i="11"/>
  <c r="H32" i="11" s="1"/>
  <c r="F30" i="8"/>
  <c r="H30" i="8" s="1"/>
  <c r="B30" i="8"/>
  <c r="D26" i="29"/>
  <c r="E26" i="29"/>
  <c r="I31" i="11"/>
  <c r="B28" i="22"/>
  <c r="F28" i="22"/>
  <c r="G28" i="22" s="1"/>
  <c r="H25" i="29"/>
  <c r="J99" i="45"/>
  <c r="G100" i="43"/>
  <c r="D101" i="43"/>
  <c r="E101" i="43"/>
  <c r="B22" i="39"/>
  <c r="F22" i="39"/>
  <c r="H22" i="39" s="1"/>
  <c r="B21" i="38"/>
  <c r="F21" i="38"/>
  <c r="H21" i="38" s="1"/>
  <c r="F22" i="13"/>
  <c r="B22" i="13"/>
  <c r="F35" i="17"/>
  <c r="I100" i="42" l="1"/>
  <c r="H100" i="42"/>
  <c r="F101" i="42"/>
  <c r="B101" i="42"/>
  <c r="E101" i="42"/>
  <c r="G35" i="17"/>
  <c r="G47" i="17" s="1"/>
  <c r="G48" i="17" s="1"/>
  <c r="F47" i="17"/>
  <c r="G101" i="13"/>
  <c r="D102" i="13"/>
  <c r="H21" i="40"/>
  <c r="E101" i="44"/>
  <c r="F101" i="44" s="1"/>
  <c r="B101" i="44"/>
  <c r="I100" i="44"/>
  <c r="H100" i="44"/>
  <c r="G20" i="44"/>
  <c r="I20" i="44" s="1"/>
  <c r="F25" i="27"/>
  <c r="G25" i="27" s="1"/>
  <c r="B25" i="27"/>
  <c r="D31" i="6"/>
  <c r="E31" i="6"/>
  <c r="G21" i="38"/>
  <c r="I21" i="38" s="1"/>
  <c r="G22" i="39"/>
  <c r="H28" i="22"/>
  <c r="E21" i="44"/>
  <c r="D21" i="44"/>
  <c r="B32" i="9"/>
  <c r="F32" i="9"/>
  <c r="G32" i="9"/>
  <c r="H30" i="6"/>
  <c r="I30" i="6" s="1"/>
  <c r="H105" i="24"/>
  <c r="I105" i="24"/>
  <c r="J105" i="24" s="1"/>
  <c r="I104" i="27"/>
  <c r="H104" i="27"/>
  <c r="F107" i="23"/>
  <c r="B107" i="23"/>
  <c r="H111" i="7"/>
  <c r="I111" i="7"/>
  <c r="J111" i="7" s="1"/>
  <c r="N89" i="8"/>
  <c r="O88" i="8"/>
  <c r="O89" i="8" s="1"/>
  <c r="F101" i="40"/>
  <c r="B101" i="40"/>
  <c r="N89" i="28"/>
  <c r="O88" i="28"/>
  <c r="O89" i="28" s="1"/>
  <c r="O88" i="6"/>
  <c r="O89" i="6" s="1"/>
  <c r="N89" i="6"/>
  <c r="N89" i="27"/>
  <c r="O88" i="27"/>
  <c r="O89" i="27" s="1"/>
  <c r="O88" i="37"/>
  <c r="O89" i="37" s="1"/>
  <c r="N89" i="37"/>
  <c r="I108" i="4"/>
  <c r="H108" i="4"/>
  <c r="F110" i="8"/>
  <c r="B110" i="8"/>
  <c r="B105" i="27"/>
  <c r="F105" i="27"/>
  <c r="J100" i="38"/>
  <c r="N89" i="10"/>
  <c r="O88" i="10"/>
  <c r="O89" i="10" s="1"/>
  <c r="N89" i="3"/>
  <c r="O88" i="3"/>
  <c r="O89" i="3" s="1"/>
  <c r="O88" i="24"/>
  <c r="O89" i="24" s="1"/>
  <c r="N89" i="24"/>
  <c r="F103" i="30"/>
  <c r="B103" i="30"/>
  <c r="H100" i="40"/>
  <c r="I100" i="40"/>
  <c r="H111" i="10"/>
  <c r="I111" i="10"/>
  <c r="J111" i="10" s="1"/>
  <c r="F104" i="28"/>
  <c r="F109" i="5"/>
  <c r="B109" i="5"/>
  <c r="D102" i="38"/>
  <c r="E102" i="38"/>
  <c r="G101" i="38"/>
  <c r="B101" i="37"/>
  <c r="F101" i="37"/>
  <c r="B111" i="11"/>
  <c r="F111" i="11"/>
  <c r="I109" i="8"/>
  <c r="J109" i="8" s="1"/>
  <c r="H109" i="8"/>
  <c r="I106" i="23"/>
  <c r="J106" i="23" s="1"/>
  <c r="H106" i="23"/>
  <c r="B111" i="9"/>
  <c r="F111" i="9"/>
  <c r="N89" i="22"/>
  <c r="O88" i="22"/>
  <c r="O89" i="22" s="1"/>
  <c r="O88" i="23"/>
  <c r="O89" i="23" s="1"/>
  <c r="N89" i="23"/>
  <c r="H108" i="3"/>
  <c r="I108" i="3"/>
  <c r="I102" i="30"/>
  <c r="J102" i="30" s="1"/>
  <c r="H102" i="30"/>
  <c r="F110" i="6"/>
  <c r="B110" i="6"/>
  <c r="F108" i="25"/>
  <c r="B108" i="25"/>
  <c r="H103" i="28"/>
  <c r="I103" i="28"/>
  <c r="H108" i="5"/>
  <c r="I108" i="5"/>
  <c r="B108" i="22"/>
  <c r="F108" i="22"/>
  <c r="I100" i="37"/>
  <c r="H100" i="37"/>
  <c r="N89" i="9"/>
  <c r="O88" i="9"/>
  <c r="O89" i="9" s="1"/>
  <c r="N89" i="30"/>
  <c r="O88" i="30"/>
  <c r="O89" i="30" s="1"/>
  <c r="F106" i="24"/>
  <c r="B106" i="24"/>
  <c r="F109" i="4"/>
  <c r="B109" i="4"/>
  <c r="H110" i="9"/>
  <c r="I110" i="9"/>
  <c r="J110" i="9" s="1"/>
  <c r="O88" i="25"/>
  <c r="O89" i="25" s="1"/>
  <c r="N89" i="25"/>
  <c r="B112" i="7"/>
  <c r="F112" i="7"/>
  <c r="B109" i="3"/>
  <c r="F109" i="3"/>
  <c r="N89" i="4"/>
  <c r="O88" i="4"/>
  <c r="O89" i="4" s="1"/>
  <c r="I109" i="6"/>
  <c r="H109" i="6"/>
  <c r="F112" i="10"/>
  <c r="N89" i="11"/>
  <c r="O88" i="11"/>
  <c r="O89" i="11" s="1"/>
  <c r="H107" i="25"/>
  <c r="I107" i="25"/>
  <c r="I107" i="22"/>
  <c r="J107" i="22" s="1"/>
  <c r="H107" i="22"/>
  <c r="N89" i="7"/>
  <c r="O88" i="7"/>
  <c r="O89" i="7" s="1"/>
  <c r="N89" i="5"/>
  <c r="O88" i="5"/>
  <c r="O89" i="5" s="1"/>
  <c r="H110" i="11"/>
  <c r="I110" i="11"/>
  <c r="E106" i="29"/>
  <c r="G105" i="29"/>
  <c r="D106" i="29"/>
  <c r="I104" i="29"/>
  <c r="H104" i="29"/>
  <c r="E31" i="3"/>
  <c r="D31" i="3"/>
  <c r="B26" i="29"/>
  <c r="F26" i="29"/>
  <c r="G26" i="29" s="1"/>
  <c r="D24" i="30"/>
  <c r="E24" i="30"/>
  <c r="I22" i="39"/>
  <c r="F101" i="43"/>
  <c r="B101" i="43"/>
  <c r="G30" i="8"/>
  <c r="I30" i="8" s="1"/>
  <c r="G30" i="3"/>
  <c r="I21" i="40"/>
  <c r="D21" i="42"/>
  <c r="E21" i="42"/>
  <c r="G101" i="39"/>
  <c r="D102" i="39"/>
  <c r="E102" i="39"/>
  <c r="D25" i="28"/>
  <c r="E25" i="28"/>
  <c r="I21" i="41"/>
  <c r="H33" i="7"/>
  <c r="D27" i="24"/>
  <c r="E27" i="24"/>
  <c r="D23" i="13"/>
  <c r="E23" i="13" s="1"/>
  <c r="G22" i="13"/>
  <c r="D23" i="39"/>
  <c r="E23" i="39"/>
  <c r="I100" i="43"/>
  <c r="H100" i="43"/>
  <c r="I25" i="29"/>
  <c r="H30" i="3"/>
  <c r="D29" i="25"/>
  <c r="E29" i="25"/>
  <c r="G20" i="42"/>
  <c r="H23" i="30"/>
  <c r="D22" i="41"/>
  <c r="E22" i="41"/>
  <c r="D29" i="22"/>
  <c r="E29" i="22"/>
  <c r="H104" i="31"/>
  <c r="I104" i="31"/>
  <c r="B24" i="31"/>
  <c r="F24" i="31"/>
  <c r="G24" i="31" s="1"/>
  <c r="D33" i="10"/>
  <c r="E33" i="10"/>
  <c r="I28" i="22"/>
  <c r="D31" i="8"/>
  <c r="E31" i="8"/>
  <c r="D22" i="38"/>
  <c r="E22" i="38"/>
  <c r="G32" i="11"/>
  <c r="I32" i="11" s="1"/>
  <c r="D31" i="5"/>
  <c r="E31" i="5"/>
  <c r="J100" i="39"/>
  <c r="D21" i="45"/>
  <c r="E21" i="45"/>
  <c r="D28" i="23"/>
  <c r="E28" i="23"/>
  <c r="H32" i="10"/>
  <c r="F101" i="41"/>
  <c r="B101" i="41"/>
  <c r="I100" i="41"/>
  <c r="H100" i="41"/>
  <c r="D22" i="40"/>
  <c r="E22" i="40"/>
  <c r="H20" i="42"/>
  <c r="G30" i="5"/>
  <c r="I21" i="37"/>
  <c r="D31" i="4"/>
  <c r="E31" i="4"/>
  <c r="R133" i="1"/>
  <c r="O19" i="1"/>
  <c r="N20" i="1"/>
  <c r="H24" i="28"/>
  <c r="H27" i="23"/>
  <c r="G32" i="10"/>
  <c r="G26" i="24"/>
  <c r="D22" i="43"/>
  <c r="E22" i="43"/>
  <c r="B101" i="45"/>
  <c r="F101" i="45"/>
  <c r="B105" i="31"/>
  <c r="F105" i="31"/>
  <c r="D34" i="7"/>
  <c r="E34" i="7"/>
  <c r="D33" i="11"/>
  <c r="E33" i="11"/>
  <c r="H22" i="13"/>
  <c r="H28" i="25"/>
  <c r="H30" i="5"/>
  <c r="D22" i="37"/>
  <c r="E22" i="37"/>
  <c r="H30" i="4"/>
  <c r="G20" i="45"/>
  <c r="I20" i="45" s="1"/>
  <c r="G24" i="28"/>
  <c r="H26" i="24"/>
  <c r="H21" i="43"/>
  <c r="H100" i="45"/>
  <c r="I100" i="45"/>
  <c r="F48" i="17" l="1"/>
  <c r="H25" i="27"/>
  <c r="G101" i="42"/>
  <c r="D102" i="42"/>
  <c r="J100" i="42"/>
  <c r="D102" i="44"/>
  <c r="G101" i="44"/>
  <c r="I25" i="27"/>
  <c r="E102" i="13"/>
  <c r="F102" i="13" s="1"/>
  <c r="B102" i="13"/>
  <c r="I101" i="13"/>
  <c r="H101" i="13"/>
  <c r="M88" i="13" s="1"/>
  <c r="J100" i="44"/>
  <c r="D33" i="9"/>
  <c r="E33" i="9"/>
  <c r="H26" i="29"/>
  <c r="J100" i="37"/>
  <c r="H24" i="31"/>
  <c r="H32" i="9"/>
  <c r="I32" i="9" s="1"/>
  <c r="B21" i="44"/>
  <c r="F21" i="44"/>
  <c r="G21" i="44" s="1"/>
  <c r="H21" i="44"/>
  <c r="H31" i="6"/>
  <c r="F31" i="6"/>
  <c r="G31" i="6" s="1"/>
  <c r="B31" i="6"/>
  <c r="D26" i="27"/>
  <c r="E26" i="27"/>
  <c r="J109" i="6"/>
  <c r="D110" i="4"/>
  <c r="G109" i="4"/>
  <c r="E110" i="4"/>
  <c r="J108" i="5"/>
  <c r="G111" i="9"/>
  <c r="E112" i="9"/>
  <c r="D112" i="9"/>
  <c r="E102" i="37"/>
  <c r="D102" i="37"/>
  <c r="G101" i="37"/>
  <c r="B102" i="38"/>
  <c r="F102" i="38"/>
  <c r="G110" i="8"/>
  <c r="E111" i="8"/>
  <c r="D111" i="8"/>
  <c r="D102" i="40"/>
  <c r="E102" i="40"/>
  <c r="G101" i="40"/>
  <c r="J104" i="27"/>
  <c r="G109" i="3"/>
  <c r="E110" i="3"/>
  <c r="D110" i="3"/>
  <c r="E105" i="28"/>
  <c r="D105" i="28"/>
  <c r="G104" i="28"/>
  <c r="E113" i="7"/>
  <c r="D113" i="7"/>
  <c r="G112" i="7"/>
  <c r="G108" i="25"/>
  <c r="D109" i="25"/>
  <c r="E109" i="25"/>
  <c r="D104" i="30"/>
  <c r="G103" i="30"/>
  <c r="E104" i="30"/>
  <c r="D106" i="27"/>
  <c r="E106" i="27"/>
  <c r="G105" i="27"/>
  <c r="G110" i="6"/>
  <c r="D111" i="6"/>
  <c r="E111" i="6"/>
  <c r="J110" i="11"/>
  <c r="J107" i="25"/>
  <c r="G112" i="10"/>
  <c r="E113" i="10"/>
  <c r="D113" i="10"/>
  <c r="D107" i="24"/>
  <c r="E107" i="24"/>
  <c r="G106" i="24"/>
  <c r="D109" i="22"/>
  <c r="G108" i="22"/>
  <c r="E109" i="22"/>
  <c r="J103" i="28"/>
  <c r="J108" i="3"/>
  <c r="G111" i="11"/>
  <c r="D112" i="11"/>
  <c r="E112" i="11"/>
  <c r="H101" i="38"/>
  <c r="I101" i="38"/>
  <c r="G109" i="5"/>
  <c r="D110" i="5"/>
  <c r="E110" i="5"/>
  <c r="J100" i="40"/>
  <c r="J108" i="4"/>
  <c r="E108" i="23"/>
  <c r="D108" i="23"/>
  <c r="G107" i="23"/>
  <c r="J104" i="29"/>
  <c r="F106" i="29"/>
  <c r="B106" i="29"/>
  <c r="I105" i="29"/>
  <c r="H105" i="29"/>
  <c r="I30" i="4"/>
  <c r="B21" i="45"/>
  <c r="F21" i="45"/>
  <c r="H21" i="45" s="1"/>
  <c r="I101" i="39"/>
  <c r="H101" i="39"/>
  <c r="B22" i="43"/>
  <c r="F22" i="43"/>
  <c r="G22" i="43" s="1"/>
  <c r="B22" i="40"/>
  <c r="F22" i="40"/>
  <c r="G22" i="40" s="1"/>
  <c r="B22" i="38"/>
  <c r="F22" i="38"/>
  <c r="H22" i="38" s="1"/>
  <c r="I30" i="3"/>
  <c r="J100" i="43"/>
  <c r="B23" i="13"/>
  <c r="F23" i="13"/>
  <c r="H23" i="13" s="1"/>
  <c r="I33" i="7"/>
  <c r="J104" i="31"/>
  <c r="B31" i="5"/>
  <c r="F31" i="5"/>
  <c r="G31" i="5" s="1"/>
  <c r="D25" i="31"/>
  <c r="E25" i="31"/>
  <c r="I23" i="30"/>
  <c r="F27" i="24"/>
  <c r="G27" i="24" s="1"/>
  <c r="B27" i="24"/>
  <c r="F31" i="3"/>
  <c r="B31" i="3"/>
  <c r="I20" i="42"/>
  <c r="F102" i="39"/>
  <c r="B102" i="39"/>
  <c r="G101" i="43"/>
  <c r="D102" i="43"/>
  <c r="E102" i="43"/>
  <c r="F34" i="7"/>
  <c r="G34" i="7" s="1"/>
  <c r="B34" i="7"/>
  <c r="J100" i="41"/>
  <c r="F24" i="30"/>
  <c r="G24" i="30" s="1"/>
  <c r="B24" i="30"/>
  <c r="F33" i="11"/>
  <c r="B33" i="11"/>
  <c r="E106" i="31"/>
  <c r="D106" i="31"/>
  <c r="G105" i="31"/>
  <c r="G101" i="41"/>
  <c r="D102" i="41"/>
  <c r="E102" i="41"/>
  <c r="B28" i="23"/>
  <c r="F28" i="23"/>
  <c r="H28" i="23" s="1"/>
  <c r="B23" i="39"/>
  <c r="F23" i="39"/>
  <c r="H23" i="39" s="1"/>
  <c r="E27" i="29"/>
  <c r="D27" i="29"/>
  <c r="J100" i="45"/>
  <c r="F22" i="37"/>
  <c r="H22" i="37" s="1"/>
  <c r="B22" i="37"/>
  <c r="I22" i="13"/>
  <c r="R134" i="1"/>
  <c r="O20" i="1"/>
  <c r="F33" i="10"/>
  <c r="H33" i="10" s="1"/>
  <c r="B33" i="10"/>
  <c r="F21" i="42"/>
  <c r="G21" i="42" s="1"/>
  <c r="B21" i="42"/>
  <c r="I26" i="29"/>
  <c r="B31" i="8"/>
  <c r="F31" i="8"/>
  <c r="G31" i="8" s="1"/>
  <c r="H31" i="8"/>
  <c r="I24" i="31"/>
  <c r="I30" i="5"/>
  <c r="B29" i="25"/>
  <c r="F29" i="25"/>
  <c r="H29" i="25" s="1"/>
  <c r="B25" i="28"/>
  <c r="F25" i="28"/>
  <c r="H25" i="28" s="1"/>
  <c r="I26" i="24"/>
  <c r="B31" i="4"/>
  <c r="F31" i="4"/>
  <c r="G31" i="4" s="1"/>
  <c r="H31" i="4"/>
  <c r="I28" i="25"/>
  <c r="I24" i="28"/>
  <c r="I32" i="10"/>
  <c r="I21" i="43"/>
  <c r="D102" i="45"/>
  <c r="E102" i="45" s="1"/>
  <c r="G101" i="45"/>
  <c r="I27" i="23"/>
  <c r="B29" i="22"/>
  <c r="H29" i="22"/>
  <c r="F29" i="22"/>
  <c r="G29" i="22" s="1"/>
  <c r="F22" i="41"/>
  <c r="H22" i="41" s="1"/>
  <c r="B22" i="41"/>
  <c r="G22" i="41"/>
  <c r="B102" i="42" l="1"/>
  <c r="E102" i="42"/>
  <c r="F102" i="42" s="1"/>
  <c r="H101" i="42"/>
  <c r="I101" i="42"/>
  <c r="J101" i="42" s="1"/>
  <c r="G102" i="13"/>
  <c r="D103" i="13"/>
  <c r="M89" i="13"/>
  <c r="N18" i="2"/>
  <c r="J101" i="13"/>
  <c r="N88" i="13"/>
  <c r="H101" i="44"/>
  <c r="I101" i="44"/>
  <c r="J101" i="44" s="1"/>
  <c r="E102" i="44"/>
  <c r="B102" i="44"/>
  <c r="F102" i="44"/>
  <c r="I28" i="23"/>
  <c r="I31" i="4"/>
  <c r="G28" i="23"/>
  <c r="I21" i="44"/>
  <c r="G33" i="10"/>
  <c r="G22" i="37"/>
  <c r="H24" i="30"/>
  <c r="H34" i="7"/>
  <c r="I34" i="7" s="1"/>
  <c r="H31" i="5"/>
  <c r="H22" i="43"/>
  <c r="J101" i="38"/>
  <c r="D32" i="6"/>
  <c r="E32" i="6"/>
  <c r="D22" i="44"/>
  <c r="E22" i="44"/>
  <c r="G21" i="45"/>
  <c r="B26" i="27"/>
  <c r="F26" i="27"/>
  <c r="H26" i="27" s="1"/>
  <c r="G26" i="27"/>
  <c r="I31" i="6"/>
  <c r="B33" i="9"/>
  <c r="F33" i="9"/>
  <c r="G33" i="9"/>
  <c r="B112" i="11"/>
  <c r="F112" i="11"/>
  <c r="I112" i="10"/>
  <c r="H112" i="10"/>
  <c r="B113" i="7"/>
  <c r="F113" i="7"/>
  <c r="B111" i="8"/>
  <c r="F111" i="8"/>
  <c r="F112" i="9"/>
  <c r="B112" i="9"/>
  <c r="H107" i="23"/>
  <c r="I107" i="23"/>
  <c r="J107" i="23" s="1"/>
  <c r="I111" i="11"/>
  <c r="J111" i="11" s="1"/>
  <c r="H111" i="11"/>
  <c r="H108" i="22"/>
  <c r="I108" i="22"/>
  <c r="J108" i="22" s="1"/>
  <c r="B107" i="24"/>
  <c r="F107" i="24"/>
  <c r="I110" i="6"/>
  <c r="H110" i="6"/>
  <c r="F109" i="25"/>
  <c r="B109" i="25"/>
  <c r="B110" i="3"/>
  <c r="F110" i="3"/>
  <c r="H101" i="40"/>
  <c r="I101" i="40"/>
  <c r="I101" i="37"/>
  <c r="H101" i="37"/>
  <c r="H109" i="4"/>
  <c r="I109" i="4"/>
  <c r="J109" i="4" s="1"/>
  <c r="I109" i="5"/>
  <c r="H109" i="5"/>
  <c r="B106" i="27"/>
  <c r="F106" i="27"/>
  <c r="B108" i="23"/>
  <c r="F108" i="23"/>
  <c r="B109" i="22"/>
  <c r="F109" i="22"/>
  <c r="B113" i="10"/>
  <c r="F113" i="10"/>
  <c r="I105" i="27"/>
  <c r="J105" i="27" s="1"/>
  <c r="H105" i="27"/>
  <c r="H103" i="30"/>
  <c r="I103" i="30"/>
  <c r="J103" i="30" s="1"/>
  <c r="H108" i="25"/>
  <c r="I108" i="25"/>
  <c r="I104" i="28"/>
  <c r="H104" i="28"/>
  <c r="H110" i="8"/>
  <c r="I110" i="8"/>
  <c r="F102" i="37"/>
  <c r="B102" i="37"/>
  <c r="I111" i="9"/>
  <c r="J111" i="9" s="1"/>
  <c r="H111" i="9"/>
  <c r="B110" i="4"/>
  <c r="F110" i="4"/>
  <c r="F111" i="6"/>
  <c r="B111" i="6"/>
  <c r="F110" i="5"/>
  <c r="B110" i="5"/>
  <c r="I106" i="24"/>
  <c r="H106" i="24"/>
  <c r="F104" i="30"/>
  <c r="B104" i="30"/>
  <c r="I112" i="7"/>
  <c r="H112" i="7"/>
  <c r="F105" i="28"/>
  <c r="B105" i="28"/>
  <c r="H109" i="3"/>
  <c r="I109" i="3"/>
  <c r="B102" i="40"/>
  <c r="F102" i="40"/>
  <c r="G102" i="38"/>
  <c r="E103" i="38"/>
  <c r="D103" i="38"/>
  <c r="J105" i="29"/>
  <c r="D107" i="29"/>
  <c r="E107" i="29"/>
  <c r="G106" i="29"/>
  <c r="I22" i="37"/>
  <c r="I21" i="45"/>
  <c r="I33" i="10"/>
  <c r="I31" i="8"/>
  <c r="D34" i="11"/>
  <c r="E34" i="11"/>
  <c r="I101" i="43"/>
  <c r="H101" i="43"/>
  <c r="D32" i="3"/>
  <c r="E32" i="3"/>
  <c r="I31" i="5"/>
  <c r="H22" i="40"/>
  <c r="I22" i="40" s="1"/>
  <c r="D22" i="42"/>
  <c r="E22" i="42"/>
  <c r="G23" i="39"/>
  <c r="I23" i="39" s="1"/>
  <c r="I29" i="22"/>
  <c r="I24" i="30"/>
  <c r="F27" i="29"/>
  <c r="B27" i="29"/>
  <c r="H101" i="41"/>
  <c r="I101" i="41"/>
  <c r="B106" i="31"/>
  <c r="F106" i="31"/>
  <c r="D22" i="45"/>
  <c r="E22" i="45"/>
  <c r="G25" i="28"/>
  <c r="I25" i="28" s="1"/>
  <c r="D23" i="37"/>
  <c r="E23" i="37"/>
  <c r="D25" i="30"/>
  <c r="E25" i="30"/>
  <c r="D28" i="24"/>
  <c r="E28" i="24"/>
  <c r="G23" i="13"/>
  <c r="I23" i="13" s="1"/>
  <c r="I22" i="43"/>
  <c r="I22" i="41"/>
  <c r="H105" i="31"/>
  <c r="I105" i="31"/>
  <c r="D23" i="41"/>
  <c r="E23" i="41"/>
  <c r="D32" i="4"/>
  <c r="E32" i="4"/>
  <c r="D30" i="25"/>
  <c r="E30" i="25"/>
  <c r="D29" i="23"/>
  <c r="E29" i="23"/>
  <c r="H33" i="11"/>
  <c r="D35" i="7"/>
  <c r="E35" i="7"/>
  <c r="H31" i="3"/>
  <c r="H27" i="24"/>
  <c r="D23" i="38"/>
  <c r="E23" i="38"/>
  <c r="D32" i="8"/>
  <c r="E32" i="8"/>
  <c r="E24" i="39"/>
  <c r="D24" i="39"/>
  <c r="B25" i="31"/>
  <c r="F25" i="31"/>
  <c r="G25" i="31" s="1"/>
  <c r="D34" i="10"/>
  <c r="E34" i="10"/>
  <c r="D23" i="43"/>
  <c r="E23" i="43"/>
  <c r="D26" i="28"/>
  <c r="E26" i="28"/>
  <c r="B102" i="41"/>
  <c r="F102" i="41"/>
  <c r="D103" i="39"/>
  <c r="G102" i="39"/>
  <c r="E103" i="39"/>
  <c r="D24" i="13"/>
  <c r="E24" i="13" s="1"/>
  <c r="D23" i="40"/>
  <c r="E23" i="40"/>
  <c r="H101" i="45"/>
  <c r="I101" i="45"/>
  <c r="D30" i="22"/>
  <c r="E30" i="22"/>
  <c r="B102" i="45"/>
  <c r="F102" i="45"/>
  <c r="G29" i="25"/>
  <c r="I29" i="25" s="1"/>
  <c r="H21" i="42"/>
  <c r="G33" i="11"/>
  <c r="F102" i="43"/>
  <c r="B102" i="43"/>
  <c r="G31" i="3"/>
  <c r="D32" i="5"/>
  <c r="E32" i="5"/>
  <c r="G22" i="38"/>
  <c r="I22" i="38" s="1"/>
  <c r="J101" i="39"/>
  <c r="D103" i="42" l="1"/>
  <c r="G102" i="42"/>
  <c r="R134" i="2"/>
  <c r="N19" i="2"/>
  <c r="N20" i="2" s="1"/>
  <c r="H25" i="31"/>
  <c r="G102" i="44"/>
  <c r="D103" i="44"/>
  <c r="O18" i="2"/>
  <c r="O88" i="13"/>
  <c r="O89" i="13" s="1"/>
  <c r="N89" i="13"/>
  <c r="E103" i="13"/>
  <c r="F103" i="13"/>
  <c r="B103" i="13"/>
  <c r="I26" i="27"/>
  <c r="H102" i="13"/>
  <c r="I102" i="13"/>
  <c r="J102" i="13" s="1"/>
  <c r="D34" i="9"/>
  <c r="E34" i="9"/>
  <c r="F32" i="6"/>
  <c r="B32" i="6"/>
  <c r="H33" i="9"/>
  <c r="I33" i="9" s="1"/>
  <c r="D27" i="27"/>
  <c r="E27" i="27"/>
  <c r="F22" i="44"/>
  <c r="H22" i="44" s="1"/>
  <c r="B22" i="44"/>
  <c r="D111" i="4"/>
  <c r="G110" i="4"/>
  <c r="E111" i="4"/>
  <c r="D109" i="23"/>
  <c r="E109" i="23"/>
  <c r="G108" i="23"/>
  <c r="D111" i="3"/>
  <c r="G110" i="3"/>
  <c r="E111" i="3"/>
  <c r="B103" i="38"/>
  <c r="F103" i="38"/>
  <c r="D106" i="28"/>
  <c r="E106" i="28"/>
  <c r="G105" i="28"/>
  <c r="E105" i="30"/>
  <c r="D105" i="30"/>
  <c r="G104" i="30"/>
  <c r="E111" i="5"/>
  <c r="D111" i="5"/>
  <c r="G110" i="5"/>
  <c r="G102" i="37"/>
  <c r="D103" i="37"/>
  <c r="E103" i="37"/>
  <c r="J104" i="28"/>
  <c r="J109" i="5"/>
  <c r="J101" i="37"/>
  <c r="J110" i="6"/>
  <c r="J112" i="10"/>
  <c r="D103" i="40"/>
  <c r="G102" i="40"/>
  <c r="E103" i="40"/>
  <c r="J109" i="3"/>
  <c r="J110" i="8"/>
  <c r="J108" i="25"/>
  <c r="D110" i="22"/>
  <c r="G109" i="22"/>
  <c r="E110" i="22"/>
  <c r="G106" i="27"/>
  <c r="D107" i="27"/>
  <c r="E107" i="27"/>
  <c r="J101" i="40"/>
  <c r="D108" i="24"/>
  <c r="G107" i="24"/>
  <c r="E108" i="24"/>
  <c r="G113" i="7"/>
  <c r="D114" i="7"/>
  <c r="E114" i="7"/>
  <c r="D113" i="11"/>
  <c r="E113" i="11"/>
  <c r="G112" i="11"/>
  <c r="D114" i="10"/>
  <c r="E114" i="10"/>
  <c r="G113" i="10"/>
  <c r="D112" i="8"/>
  <c r="G111" i="8"/>
  <c r="E112" i="8"/>
  <c r="I102" i="38"/>
  <c r="H102" i="38"/>
  <c r="J112" i="7"/>
  <c r="J106" i="24"/>
  <c r="G111" i="6"/>
  <c r="E112" i="6"/>
  <c r="D112" i="6"/>
  <c r="D110" i="25"/>
  <c r="E110" i="25"/>
  <c r="G109" i="25"/>
  <c r="G112" i="9"/>
  <c r="D113" i="9"/>
  <c r="E113" i="9"/>
  <c r="H106" i="29"/>
  <c r="I106" i="29"/>
  <c r="B107" i="29"/>
  <c r="F107" i="29"/>
  <c r="J105" i="31"/>
  <c r="J101" i="45"/>
  <c r="B23" i="37"/>
  <c r="F23" i="37"/>
  <c r="H23" i="37" s="1"/>
  <c r="B22" i="45"/>
  <c r="F22" i="45"/>
  <c r="H22" i="45" s="1"/>
  <c r="G106" i="31"/>
  <c r="E107" i="31"/>
  <c r="D107" i="31"/>
  <c r="F32" i="3"/>
  <c r="H32" i="3" s="1"/>
  <c r="B32" i="3"/>
  <c r="G102" i="43"/>
  <c r="D103" i="43"/>
  <c r="E103" i="43"/>
  <c r="F23" i="38"/>
  <c r="H23" i="38" s="1"/>
  <c r="B23" i="38"/>
  <c r="B32" i="5"/>
  <c r="F32" i="5"/>
  <c r="G32" i="5" s="1"/>
  <c r="D103" i="45"/>
  <c r="E103" i="45" s="1"/>
  <c r="G102" i="45"/>
  <c r="H102" i="39"/>
  <c r="I102" i="39"/>
  <c r="I25" i="31"/>
  <c r="B32" i="8"/>
  <c r="F32" i="8"/>
  <c r="H32" i="8" s="1"/>
  <c r="I27" i="24"/>
  <c r="F29" i="23"/>
  <c r="G29" i="23" s="1"/>
  <c r="B29" i="23"/>
  <c r="H29" i="23"/>
  <c r="F28" i="24"/>
  <c r="H28" i="24" s="1"/>
  <c r="G28" i="24"/>
  <c r="B28" i="24"/>
  <c r="J101" i="41"/>
  <c r="J101" i="43"/>
  <c r="F30" i="25"/>
  <c r="H30" i="25" s="1"/>
  <c r="B30" i="25"/>
  <c r="B103" i="39"/>
  <c r="F103" i="39"/>
  <c r="F23" i="43"/>
  <c r="G23" i="43" s="1"/>
  <c r="B23" i="43"/>
  <c r="I31" i="3"/>
  <c r="B32" i="4"/>
  <c r="F32" i="4"/>
  <c r="G32" i="4" s="1"/>
  <c r="E28" i="29"/>
  <c r="D28" i="29"/>
  <c r="B23" i="40"/>
  <c r="F23" i="40"/>
  <c r="H23" i="40" s="1"/>
  <c r="G23" i="40"/>
  <c r="G102" i="41"/>
  <c r="D103" i="41"/>
  <c r="E103" i="41"/>
  <c r="D26" i="31"/>
  <c r="E26" i="31"/>
  <c r="B25" i="30"/>
  <c r="F25" i="30"/>
  <c r="H25" i="30" s="1"/>
  <c r="B34" i="11"/>
  <c r="F34" i="11"/>
  <c r="G34" i="11" s="1"/>
  <c r="I21" i="42"/>
  <c r="B30" i="22"/>
  <c r="F30" i="22"/>
  <c r="H30" i="22" s="1"/>
  <c r="F26" i="28"/>
  <c r="H26" i="28" s="1"/>
  <c r="G26" i="28"/>
  <c r="B26" i="28"/>
  <c r="B35" i="7"/>
  <c r="F35" i="7"/>
  <c r="H35" i="7" s="1"/>
  <c r="G27" i="29"/>
  <c r="B22" i="42"/>
  <c r="F22" i="42"/>
  <c r="G22" i="42" s="1"/>
  <c r="F24" i="13"/>
  <c r="G24" i="13" s="1"/>
  <c r="B24" i="13"/>
  <c r="F34" i="10"/>
  <c r="H34" i="10" s="1"/>
  <c r="G34" i="10"/>
  <c r="B34" i="10"/>
  <c r="B24" i="39"/>
  <c r="F24" i="39"/>
  <c r="I33" i="11"/>
  <c r="F23" i="41"/>
  <c r="G23" i="41" s="1"/>
  <c r="B23" i="41"/>
  <c r="H27" i="29"/>
  <c r="I102" i="42" l="1"/>
  <c r="H102" i="42"/>
  <c r="H24" i="13"/>
  <c r="I28" i="24"/>
  <c r="E103" i="42"/>
  <c r="F103" i="42"/>
  <c r="B103" i="42"/>
  <c r="H32" i="5"/>
  <c r="G103" i="13"/>
  <c r="D104" i="13"/>
  <c r="O19" i="2"/>
  <c r="O20" i="2" s="1"/>
  <c r="R135" i="2"/>
  <c r="E103" i="44"/>
  <c r="B103" i="44"/>
  <c r="F103" i="44"/>
  <c r="H23" i="41"/>
  <c r="I23" i="41" s="1"/>
  <c r="H23" i="43"/>
  <c r="I102" i="44"/>
  <c r="H102" i="44"/>
  <c r="P18" i="2"/>
  <c r="P19" i="2" s="1"/>
  <c r="P20" i="2" s="1"/>
  <c r="F27" i="27"/>
  <c r="B27" i="27"/>
  <c r="H27" i="27"/>
  <c r="D33" i="6"/>
  <c r="E33" i="6"/>
  <c r="G23" i="38"/>
  <c r="H32" i="6"/>
  <c r="I32" i="6" s="1"/>
  <c r="H32" i="4"/>
  <c r="I32" i="4" s="1"/>
  <c r="G32" i="8"/>
  <c r="D23" i="44"/>
  <c r="E23" i="44"/>
  <c r="I23" i="40"/>
  <c r="G22" i="44"/>
  <c r="I22" i="44" s="1"/>
  <c r="G32" i="6"/>
  <c r="F34" i="9"/>
  <c r="H34" i="9" s="1"/>
  <c r="B34" i="9"/>
  <c r="J102" i="38"/>
  <c r="B113" i="9"/>
  <c r="F113" i="9"/>
  <c r="B113" i="11"/>
  <c r="F113" i="11"/>
  <c r="I110" i="5"/>
  <c r="J110" i="5" s="1"/>
  <c r="H110" i="5"/>
  <c r="B109" i="23"/>
  <c r="F109" i="23"/>
  <c r="H112" i="9"/>
  <c r="I112" i="9"/>
  <c r="F112" i="6"/>
  <c r="B112" i="6"/>
  <c r="H111" i="8"/>
  <c r="I111" i="8"/>
  <c r="B114" i="10"/>
  <c r="F114" i="10"/>
  <c r="I107" i="24"/>
  <c r="J107" i="24" s="1"/>
  <c r="H107" i="24"/>
  <c r="F107" i="27"/>
  <c r="B107" i="27"/>
  <c r="B110" i="22"/>
  <c r="F110" i="22"/>
  <c r="F111" i="5"/>
  <c r="B111" i="5"/>
  <c r="G103" i="38"/>
  <c r="D104" i="38"/>
  <c r="E104" i="38"/>
  <c r="F111" i="3"/>
  <c r="B111" i="3"/>
  <c r="F110" i="25"/>
  <c r="B110" i="25"/>
  <c r="I109" i="22"/>
  <c r="J109" i="22" s="1"/>
  <c r="H109" i="22"/>
  <c r="F106" i="28"/>
  <c r="B106" i="28"/>
  <c r="H110" i="3"/>
  <c r="I110" i="3"/>
  <c r="I109" i="25"/>
  <c r="H109" i="25"/>
  <c r="F112" i="8"/>
  <c r="B112" i="8"/>
  <c r="I112" i="11"/>
  <c r="H112" i="11"/>
  <c r="F114" i="7"/>
  <c r="B114" i="7"/>
  <c r="B108" i="24"/>
  <c r="F108" i="24"/>
  <c r="H106" i="27"/>
  <c r="I106" i="27"/>
  <c r="I102" i="40"/>
  <c r="H102" i="40"/>
  <c r="F103" i="37"/>
  <c r="B103" i="37"/>
  <c r="I105" i="28"/>
  <c r="H105" i="28"/>
  <c r="H108" i="23"/>
  <c r="I108" i="23"/>
  <c r="I110" i="4"/>
  <c r="H110" i="4"/>
  <c r="B105" i="30"/>
  <c r="F105" i="30"/>
  <c r="H111" i="6"/>
  <c r="I111" i="6"/>
  <c r="J111" i="6" s="1"/>
  <c r="H113" i="10"/>
  <c r="I113" i="10"/>
  <c r="H113" i="7"/>
  <c r="I113" i="7"/>
  <c r="J113" i="7" s="1"/>
  <c r="F103" i="40"/>
  <c r="B103" i="40"/>
  <c r="H102" i="37"/>
  <c r="I102" i="37"/>
  <c r="H104" i="30"/>
  <c r="I104" i="30"/>
  <c r="F111" i="4"/>
  <c r="B111" i="4"/>
  <c r="E108" i="29"/>
  <c r="D108" i="29"/>
  <c r="G107" i="29"/>
  <c r="J106" i="29"/>
  <c r="I32" i="8"/>
  <c r="I27" i="29"/>
  <c r="I102" i="45"/>
  <c r="H102" i="45"/>
  <c r="D33" i="3"/>
  <c r="E33" i="3"/>
  <c r="G22" i="45"/>
  <c r="I22" i="45" s="1"/>
  <c r="D35" i="10"/>
  <c r="E35" i="10"/>
  <c r="D25" i="13"/>
  <c r="E25" i="13" s="1"/>
  <c r="G35" i="7"/>
  <c r="I35" i="7" s="1"/>
  <c r="G30" i="22"/>
  <c r="I30" i="22" s="1"/>
  <c r="B103" i="45"/>
  <c r="F103" i="45"/>
  <c r="D24" i="38"/>
  <c r="E24" i="38"/>
  <c r="D31" i="25"/>
  <c r="E31" i="25"/>
  <c r="I32" i="5"/>
  <c r="F103" i="43"/>
  <c r="B103" i="43"/>
  <c r="I24" i="13"/>
  <c r="D25" i="39"/>
  <c r="E25" i="39"/>
  <c r="H24" i="39"/>
  <c r="D23" i="42"/>
  <c r="E23" i="42"/>
  <c r="G25" i="30"/>
  <c r="I25" i="30" s="1"/>
  <c r="D24" i="43"/>
  <c r="E24" i="43"/>
  <c r="G30" i="25"/>
  <c r="I30" i="25" s="1"/>
  <c r="D33" i="5"/>
  <c r="E33" i="5"/>
  <c r="I102" i="43"/>
  <c r="H102" i="43"/>
  <c r="F107" i="31"/>
  <c r="B107" i="31"/>
  <c r="D24" i="40"/>
  <c r="E24" i="40"/>
  <c r="I23" i="43"/>
  <c r="D30" i="23"/>
  <c r="E30" i="23"/>
  <c r="E24" i="41"/>
  <c r="D24" i="41"/>
  <c r="G24" i="39"/>
  <c r="H22" i="42"/>
  <c r="D27" i="28"/>
  <c r="E27" i="28"/>
  <c r="H34" i="11"/>
  <c r="I34" i="11" s="1"/>
  <c r="D33" i="4"/>
  <c r="E33" i="4"/>
  <c r="D29" i="24"/>
  <c r="E29" i="24"/>
  <c r="J102" i="39"/>
  <c r="G32" i="3"/>
  <c r="I32" i="3" s="1"/>
  <c r="G23" i="37"/>
  <c r="I23" i="37" s="1"/>
  <c r="I26" i="28"/>
  <c r="D26" i="30"/>
  <c r="E26" i="30"/>
  <c r="B103" i="41"/>
  <c r="F103" i="41"/>
  <c r="D33" i="8"/>
  <c r="E33" i="8"/>
  <c r="H106" i="31"/>
  <c r="I106" i="31"/>
  <c r="I34" i="10"/>
  <c r="E36" i="7"/>
  <c r="D36" i="7"/>
  <c r="D31" i="22"/>
  <c r="E31" i="22"/>
  <c r="D35" i="11"/>
  <c r="E35" i="11"/>
  <c r="F26" i="31"/>
  <c r="B26" i="31"/>
  <c r="H102" i="41"/>
  <c r="I102" i="41"/>
  <c r="B28" i="29"/>
  <c r="F28" i="29"/>
  <c r="H28" i="29"/>
  <c r="G28" i="29"/>
  <c r="E104" i="39"/>
  <c r="G103" i="39"/>
  <c r="D104" i="39"/>
  <c r="I29" i="23"/>
  <c r="I23" i="38"/>
  <c r="D23" i="45"/>
  <c r="E23" i="45"/>
  <c r="D24" i="37"/>
  <c r="E24" i="37"/>
  <c r="G103" i="42" l="1"/>
  <c r="D104" i="42"/>
  <c r="B104" i="42" s="1"/>
  <c r="E104" i="42"/>
  <c r="F104" i="42" s="1"/>
  <c r="J102" i="42"/>
  <c r="G103" i="44"/>
  <c r="D104" i="44"/>
  <c r="J102" i="44"/>
  <c r="E104" i="13"/>
  <c r="F104" i="13" s="1"/>
  <c r="B104" i="13"/>
  <c r="J102" i="37"/>
  <c r="I103" i="13"/>
  <c r="H103" i="13"/>
  <c r="F23" i="44"/>
  <c r="B23" i="44"/>
  <c r="E35" i="9"/>
  <c r="D35" i="9"/>
  <c r="G27" i="27"/>
  <c r="I27" i="27" s="1"/>
  <c r="D28" i="27"/>
  <c r="E28" i="27"/>
  <c r="G34" i="9"/>
  <c r="I34" i="9" s="1"/>
  <c r="B33" i="6"/>
  <c r="F33" i="6"/>
  <c r="E115" i="7"/>
  <c r="G114" i="7"/>
  <c r="D115" i="7"/>
  <c r="E110" i="23"/>
  <c r="G109" i="23"/>
  <c r="D110" i="23"/>
  <c r="E109" i="24"/>
  <c r="G108" i="24"/>
  <c r="D109" i="24"/>
  <c r="E112" i="5"/>
  <c r="D112" i="5"/>
  <c r="G111" i="5"/>
  <c r="G107" i="27"/>
  <c r="D108" i="27"/>
  <c r="E108" i="27"/>
  <c r="G112" i="6"/>
  <c r="D113" i="6"/>
  <c r="E113" i="6"/>
  <c r="G103" i="37"/>
  <c r="E104" i="37"/>
  <c r="D104" i="37"/>
  <c r="E113" i="8"/>
  <c r="D113" i="8"/>
  <c r="G112" i="8"/>
  <c r="D112" i="3"/>
  <c r="G111" i="3"/>
  <c r="E112" i="3"/>
  <c r="G111" i="4"/>
  <c r="E112" i="4"/>
  <c r="D112" i="4"/>
  <c r="J110" i="4"/>
  <c r="J105" i="28"/>
  <c r="J102" i="40"/>
  <c r="J112" i="11"/>
  <c r="J109" i="25"/>
  <c r="G106" i="28"/>
  <c r="D107" i="28"/>
  <c r="E107" i="28"/>
  <c r="E111" i="25"/>
  <c r="G110" i="25"/>
  <c r="D111" i="25"/>
  <c r="F104" i="38"/>
  <c r="B104" i="38"/>
  <c r="G110" i="22"/>
  <c r="D111" i="22"/>
  <c r="E111" i="22"/>
  <c r="J111" i="8"/>
  <c r="J112" i="9"/>
  <c r="G113" i="9"/>
  <c r="E114" i="9"/>
  <c r="D114" i="9"/>
  <c r="D104" i="40"/>
  <c r="G103" i="40"/>
  <c r="E104" i="40"/>
  <c r="E115" i="10"/>
  <c r="D115" i="10"/>
  <c r="G114" i="10"/>
  <c r="D114" i="11"/>
  <c r="G113" i="11"/>
  <c r="E114" i="11"/>
  <c r="J104" i="30"/>
  <c r="J113" i="10"/>
  <c r="D106" i="30"/>
  <c r="E106" i="30"/>
  <c r="G105" i="30"/>
  <c r="J108" i="23"/>
  <c r="J106" i="27"/>
  <c r="J110" i="3"/>
  <c r="H103" i="38"/>
  <c r="I103" i="38"/>
  <c r="I107" i="29"/>
  <c r="H107" i="29"/>
  <c r="B108" i="29"/>
  <c r="F108" i="29"/>
  <c r="B36" i="7"/>
  <c r="F36" i="7"/>
  <c r="H36" i="7" s="1"/>
  <c r="F25" i="13"/>
  <c r="H25" i="13" s="1"/>
  <c r="B25" i="13"/>
  <c r="B33" i="3"/>
  <c r="F33" i="3"/>
  <c r="G33" i="3" s="1"/>
  <c r="D104" i="41"/>
  <c r="G103" i="41"/>
  <c r="E104" i="41"/>
  <c r="B31" i="25"/>
  <c r="F31" i="25"/>
  <c r="G31" i="25" s="1"/>
  <c r="H103" i="39"/>
  <c r="I103" i="39"/>
  <c r="F26" i="30"/>
  <c r="H26" i="30" s="1"/>
  <c r="B26" i="30"/>
  <c r="J102" i="43"/>
  <c r="F35" i="10"/>
  <c r="G35" i="10" s="1"/>
  <c r="B35" i="10"/>
  <c r="J102" i="45"/>
  <c r="I28" i="29"/>
  <c r="D108" i="31"/>
  <c r="G107" i="31"/>
  <c r="E108" i="31"/>
  <c r="D104" i="43"/>
  <c r="G103" i="43"/>
  <c r="E104" i="43"/>
  <c r="J102" i="41"/>
  <c r="B24" i="40"/>
  <c r="F24" i="40"/>
  <c r="G24" i="40" s="1"/>
  <c r="F24" i="43"/>
  <c r="G24" i="43" s="1"/>
  <c r="B24" i="43"/>
  <c r="I24" i="39"/>
  <c r="F24" i="38"/>
  <c r="H24" i="38" s="1"/>
  <c r="B24" i="38"/>
  <c r="D27" i="31"/>
  <c r="E27" i="31"/>
  <c r="F24" i="37"/>
  <c r="H24" i="37" s="1"/>
  <c r="B24" i="37"/>
  <c r="F104" i="39"/>
  <c r="B104" i="39"/>
  <c r="B27" i="28"/>
  <c r="F27" i="28"/>
  <c r="G27" i="28" s="1"/>
  <c r="G30" i="23"/>
  <c r="B30" i="23"/>
  <c r="F30" i="23"/>
  <c r="H30" i="23"/>
  <c r="G26" i="31"/>
  <c r="B35" i="11"/>
  <c r="F35" i="11"/>
  <c r="G35" i="11" s="1"/>
  <c r="B24" i="41"/>
  <c r="F24" i="41"/>
  <c r="H24" i="41" s="1"/>
  <c r="B23" i="42"/>
  <c r="F23" i="42"/>
  <c r="F31" i="22"/>
  <c r="H31" i="22" s="1"/>
  <c r="B31" i="22"/>
  <c r="B23" i="45"/>
  <c r="F23" i="45"/>
  <c r="G23" i="45" s="1"/>
  <c r="D29" i="29"/>
  <c r="E29" i="29"/>
  <c r="J106" i="31"/>
  <c r="F33" i="8"/>
  <c r="B33" i="8"/>
  <c r="I22" i="42"/>
  <c r="B33" i="5"/>
  <c r="F33" i="5"/>
  <c r="G33" i="5" s="1"/>
  <c r="B25" i="39"/>
  <c r="F25" i="39"/>
  <c r="H25" i="39" s="1"/>
  <c r="G103" i="45"/>
  <c r="D104" i="45"/>
  <c r="E104" i="45" s="1"/>
  <c r="H26" i="31"/>
  <c r="B29" i="24"/>
  <c r="F29" i="24"/>
  <c r="H29" i="24" s="1"/>
  <c r="B33" i="4"/>
  <c r="F33" i="4"/>
  <c r="G33" i="4" s="1"/>
  <c r="G25" i="13" l="1"/>
  <c r="J103" i="13"/>
  <c r="D105" i="42"/>
  <c r="G104" i="42"/>
  <c r="G24" i="38"/>
  <c r="H35" i="10"/>
  <c r="I103" i="42"/>
  <c r="H103" i="42"/>
  <c r="G104" i="13"/>
  <c r="D105" i="13"/>
  <c r="G25" i="39"/>
  <c r="G24" i="41"/>
  <c r="H27" i="28"/>
  <c r="B104" i="44"/>
  <c r="E104" i="44"/>
  <c r="F104" i="44" s="1"/>
  <c r="H31" i="25"/>
  <c r="I31" i="25" s="1"/>
  <c r="I103" i="44"/>
  <c r="H103" i="44"/>
  <c r="H33" i="4"/>
  <c r="E34" i="6"/>
  <c r="D34" i="6"/>
  <c r="B35" i="9"/>
  <c r="F35" i="9"/>
  <c r="I25" i="39"/>
  <c r="H33" i="5"/>
  <c r="H23" i="45"/>
  <c r="D24" i="44"/>
  <c r="E24" i="44"/>
  <c r="G29" i="24"/>
  <c r="I29" i="24" s="1"/>
  <c r="G31" i="22"/>
  <c r="I31" i="22" s="1"/>
  <c r="G33" i="6"/>
  <c r="F28" i="27"/>
  <c r="H28" i="27" s="1"/>
  <c r="B28" i="27"/>
  <c r="G23" i="44"/>
  <c r="I24" i="41"/>
  <c r="H35" i="11"/>
  <c r="I25" i="13"/>
  <c r="H33" i="6"/>
  <c r="I33" i="6" s="1"/>
  <c r="H23" i="44"/>
  <c r="J103" i="38"/>
  <c r="F104" i="40"/>
  <c r="B104" i="40"/>
  <c r="I106" i="28"/>
  <c r="H106" i="28"/>
  <c r="H111" i="5"/>
  <c r="I111" i="5"/>
  <c r="J111" i="5" s="1"/>
  <c r="B106" i="30"/>
  <c r="F106" i="30"/>
  <c r="I113" i="11"/>
  <c r="H113" i="11"/>
  <c r="B114" i="9"/>
  <c r="F114" i="9"/>
  <c r="F113" i="8"/>
  <c r="B113" i="8"/>
  <c r="I103" i="37"/>
  <c r="H103" i="37"/>
  <c r="B112" i="5"/>
  <c r="F112" i="5"/>
  <c r="B115" i="7"/>
  <c r="F115" i="7"/>
  <c r="F115" i="10"/>
  <c r="B115" i="10"/>
  <c r="I110" i="22"/>
  <c r="H110" i="22"/>
  <c r="H111" i="4"/>
  <c r="I111" i="4"/>
  <c r="J111" i="4" s="1"/>
  <c r="F114" i="11"/>
  <c r="B114" i="11"/>
  <c r="D105" i="38"/>
  <c r="E105" i="38"/>
  <c r="G104" i="38"/>
  <c r="F112" i="4"/>
  <c r="B112" i="4"/>
  <c r="I111" i="3"/>
  <c r="H111" i="3"/>
  <c r="F108" i="27"/>
  <c r="B108" i="27"/>
  <c r="B110" i="23"/>
  <c r="F110" i="23"/>
  <c r="I114" i="7"/>
  <c r="J114" i="7" s="1"/>
  <c r="H114" i="7"/>
  <c r="I110" i="25"/>
  <c r="J110" i="25" s="1"/>
  <c r="H110" i="25"/>
  <c r="H112" i="8"/>
  <c r="I112" i="8"/>
  <c r="I112" i="6"/>
  <c r="J112" i="6" s="1"/>
  <c r="H112" i="6"/>
  <c r="H108" i="24"/>
  <c r="I108" i="24"/>
  <c r="H105" i="30"/>
  <c r="I105" i="30"/>
  <c r="J105" i="30" s="1"/>
  <c r="I114" i="10"/>
  <c r="J114" i="10" s="1"/>
  <c r="H114" i="10"/>
  <c r="I103" i="40"/>
  <c r="H103" i="40"/>
  <c r="I113" i="9"/>
  <c r="J113" i="9" s="1"/>
  <c r="H113" i="9"/>
  <c r="B111" i="22"/>
  <c r="F111" i="22"/>
  <c r="B111" i="25"/>
  <c r="F111" i="25"/>
  <c r="B107" i="28"/>
  <c r="F107" i="28"/>
  <c r="B112" i="3"/>
  <c r="F112" i="3"/>
  <c r="F104" i="37"/>
  <c r="B104" i="37"/>
  <c r="B113" i="6"/>
  <c r="F113" i="6"/>
  <c r="I107" i="27"/>
  <c r="J107" i="27" s="1"/>
  <c r="H107" i="27"/>
  <c r="B109" i="24"/>
  <c r="F109" i="24"/>
  <c r="I109" i="23"/>
  <c r="J109" i="23" s="1"/>
  <c r="H109" i="23"/>
  <c r="J107" i="29"/>
  <c r="E109" i="29"/>
  <c r="G108" i="29"/>
  <c r="D109" i="29"/>
  <c r="D34" i="8"/>
  <c r="E34" i="8"/>
  <c r="B29" i="29"/>
  <c r="F29" i="29"/>
  <c r="G29" i="29" s="1"/>
  <c r="D24" i="42"/>
  <c r="E24" i="42"/>
  <c r="I30" i="23"/>
  <c r="I27" i="28"/>
  <c r="B27" i="31"/>
  <c r="F27" i="31"/>
  <c r="B104" i="41"/>
  <c r="F104" i="41"/>
  <c r="D24" i="45"/>
  <c r="E24" i="45"/>
  <c r="D31" i="23"/>
  <c r="E31" i="23"/>
  <c r="D25" i="38"/>
  <c r="E25" i="38"/>
  <c r="H24" i="40"/>
  <c r="I24" i="40" s="1"/>
  <c r="H103" i="43"/>
  <c r="I103" i="43"/>
  <c r="D27" i="30"/>
  <c r="E27" i="30"/>
  <c r="D34" i="3"/>
  <c r="E34" i="3"/>
  <c r="G36" i="7"/>
  <c r="I36" i="7" s="1"/>
  <c r="I35" i="11"/>
  <c r="D25" i="37"/>
  <c r="E25" i="37"/>
  <c r="H107" i="31"/>
  <c r="I107" i="31"/>
  <c r="J103" i="39"/>
  <c r="H33" i="3"/>
  <c r="D30" i="24"/>
  <c r="E30" i="24"/>
  <c r="D32" i="25"/>
  <c r="E32" i="25"/>
  <c r="E34" i="5"/>
  <c r="D34" i="5"/>
  <c r="G24" i="37"/>
  <c r="I24" i="37" s="1"/>
  <c r="B108" i="31"/>
  <c r="F108" i="31"/>
  <c r="D26" i="39"/>
  <c r="E26" i="39"/>
  <c r="I23" i="45"/>
  <c r="I24" i="38"/>
  <c r="B104" i="43"/>
  <c r="F104" i="43"/>
  <c r="D37" i="7"/>
  <c r="E37" i="7"/>
  <c r="D105" i="39"/>
  <c r="G104" i="39"/>
  <c r="E105" i="39"/>
  <c r="E34" i="4"/>
  <c r="D34" i="4"/>
  <c r="B104" i="45"/>
  <c r="F104" i="45"/>
  <c r="H33" i="8"/>
  <c r="H23" i="42"/>
  <c r="D36" i="11"/>
  <c r="E36" i="11"/>
  <c r="D28" i="28"/>
  <c r="E28" i="28"/>
  <c r="D36" i="10"/>
  <c r="E36" i="10"/>
  <c r="G26" i="30"/>
  <c r="I26" i="30" s="1"/>
  <c r="D25" i="43"/>
  <c r="E25" i="43"/>
  <c r="I35" i="10"/>
  <c r="I33" i="4"/>
  <c r="I26" i="31"/>
  <c r="H103" i="45"/>
  <c r="I103" i="45"/>
  <c r="I33" i="5"/>
  <c r="G33" i="8"/>
  <c r="D32" i="22"/>
  <c r="E32" i="22"/>
  <c r="G23" i="42"/>
  <c r="D25" i="41"/>
  <c r="E25" i="41"/>
  <c r="H24" i="43"/>
  <c r="D25" i="40"/>
  <c r="E25" i="40"/>
  <c r="I103" i="41"/>
  <c r="H103" i="41"/>
  <c r="D26" i="13"/>
  <c r="E26" i="13" s="1"/>
  <c r="I104" i="42" l="1"/>
  <c r="H104" i="42"/>
  <c r="J103" i="42"/>
  <c r="E105" i="42"/>
  <c r="F105" i="42" s="1"/>
  <c r="B105" i="42"/>
  <c r="D105" i="44"/>
  <c r="G104" i="44"/>
  <c r="E105" i="13"/>
  <c r="F105" i="13" s="1"/>
  <c r="B105" i="13"/>
  <c r="J103" i="44"/>
  <c r="I104" i="13"/>
  <c r="J104" i="13" s="1"/>
  <c r="H104" i="13"/>
  <c r="B24" i="44"/>
  <c r="F24" i="44"/>
  <c r="H24" i="44"/>
  <c r="D36" i="9"/>
  <c r="E36" i="9"/>
  <c r="B34" i="6"/>
  <c r="G34" i="6"/>
  <c r="H34" i="6"/>
  <c r="F34" i="6"/>
  <c r="I28" i="27"/>
  <c r="H35" i="9"/>
  <c r="I23" i="44"/>
  <c r="G28" i="27"/>
  <c r="D29" i="27"/>
  <c r="E29" i="27"/>
  <c r="G35" i="9"/>
  <c r="D109" i="27"/>
  <c r="G108" i="27"/>
  <c r="E109" i="27"/>
  <c r="D108" i="28"/>
  <c r="G107" i="28"/>
  <c r="E108" i="28"/>
  <c r="E112" i="22"/>
  <c r="D112" i="22"/>
  <c r="G111" i="22"/>
  <c r="D111" i="23"/>
  <c r="E111" i="23"/>
  <c r="G110" i="23"/>
  <c r="I104" i="38"/>
  <c r="H104" i="38"/>
  <c r="D115" i="11"/>
  <c r="G114" i="11"/>
  <c r="E115" i="11"/>
  <c r="J110" i="22"/>
  <c r="J103" i="37"/>
  <c r="J106" i="28"/>
  <c r="E113" i="4"/>
  <c r="D113" i="4"/>
  <c r="G112" i="4"/>
  <c r="E115" i="9"/>
  <c r="D115" i="9"/>
  <c r="G114" i="9"/>
  <c r="E107" i="30"/>
  <c r="G106" i="30"/>
  <c r="D107" i="30"/>
  <c r="D105" i="37"/>
  <c r="E105" i="37"/>
  <c r="G104" i="37"/>
  <c r="J103" i="40"/>
  <c r="J111" i="3"/>
  <c r="G112" i="5"/>
  <c r="D113" i="5"/>
  <c r="E113" i="5"/>
  <c r="G115" i="7"/>
  <c r="D116" i="7"/>
  <c r="E116" i="7"/>
  <c r="E110" i="24"/>
  <c r="D110" i="24"/>
  <c r="G109" i="24"/>
  <c r="G113" i="6"/>
  <c r="D114" i="6"/>
  <c r="E114" i="6"/>
  <c r="E113" i="3"/>
  <c r="G112" i="3"/>
  <c r="D113" i="3"/>
  <c r="D112" i="25"/>
  <c r="E112" i="25"/>
  <c r="G111" i="25"/>
  <c r="J108" i="24"/>
  <c r="J112" i="8"/>
  <c r="F105" i="38"/>
  <c r="B105" i="38"/>
  <c r="D116" i="10"/>
  <c r="E116" i="10"/>
  <c r="G115" i="10"/>
  <c r="E114" i="8"/>
  <c r="D114" i="8"/>
  <c r="G113" i="8"/>
  <c r="J113" i="11"/>
  <c r="G104" i="40"/>
  <c r="E105" i="40"/>
  <c r="D105" i="40"/>
  <c r="B109" i="29"/>
  <c r="F109" i="29"/>
  <c r="I108" i="29"/>
  <c r="H108" i="29"/>
  <c r="F32" i="22"/>
  <c r="H32" i="22" s="1"/>
  <c r="B32" i="22"/>
  <c r="G104" i="45"/>
  <c r="D105" i="45"/>
  <c r="B26" i="39"/>
  <c r="F26" i="39"/>
  <c r="F34" i="4"/>
  <c r="H34" i="4" s="1"/>
  <c r="B34" i="4"/>
  <c r="B105" i="39"/>
  <c r="F105" i="39"/>
  <c r="D105" i="43"/>
  <c r="G104" i="43"/>
  <c r="E105" i="43"/>
  <c r="E109" i="31"/>
  <c r="G108" i="31"/>
  <c r="D109" i="31"/>
  <c r="F32" i="25"/>
  <c r="H32" i="25" s="1"/>
  <c r="B32" i="25"/>
  <c r="I33" i="3"/>
  <c r="J103" i="43"/>
  <c r="F34" i="8"/>
  <c r="H34" i="8" s="1"/>
  <c r="B34" i="8"/>
  <c r="J103" i="41"/>
  <c r="J103" i="45"/>
  <c r="B34" i="5"/>
  <c r="F34" i="5"/>
  <c r="H34" i="5" s="1"/>
  <c r="F31" i="23"/>
  <c r="G31" i="23" s="1"/>
  <c r="B31" i="23"/>
  <c r="D105" i="41"/>
  <c r="G104" i="41"/>
  <c r="E105" i="41"/>
  <c r="D28" i="31"/>
  <c r="E28" i="31"/>
  <c r="I24" i="43"/>
  <c r="B37" i="7"/>
  <c r="F37" i="7"/>
  <c r="G37" i="7" s="1"/>
  <c r="B27" i="30"/>
  <c r="F27" i="30"/>
  <c r="H27" i="30" s="1"/>
  <c r="F30" i="24"/>
  <c r="H30" i="24" s="1"/>
  <c r="B30" i="24"/>
  <c r="G27" i="31"/>
  <c r="B24" i="42"/>
  <c r="F24" i="42"/>
  <c r="F28" i="28"/>
  <c r="H28" i="28" s="1"/>
  <c r="B28" i="28"/>
  <c r="F25" i="43"/>
  <c r="H25" i="43" s="1"/>
  <c r="B25" i="43"/>
  <c r="B25" i="41"/>
  <c r="F25" i="41"/>
  <c r="G25" i="41" s="1"/>
  <c r="B36" i="11"/>
  <c r="F36" i="11"/>
  <c r="J107" i="31"/>
  <c r="D30" i="29"/>
  <c r="E30" i="29"/>
  <c r="F25" i="40"/>
  <c r="H25" i="40" s="1"/>
  <c r="B25" i="40"/>
  <c r="B24" i="45"/>
  <c r="F24" i="45"/>
  <c r="H24" i="45" s="1"/>
  <c r="F26" i="13"/>
  <c r="G26" i="13" s="1"/>
  <c r="B26" i="13"/>
  <c r="H104" i="39"/>
  <c r="I104" i="39"/>
  <c r="I23" i="42"/>
  <c r="B25" i="38"/>
  <c r="F25" i="38"/>
  <c r="H25" i="38" s="1"/>
  <c r="H27" i="31"/>
  <c r="H36" i="10"/>
  <c r="G36" i="10"/>
  <c r="B36" i="10"/>
  <c r="F36" i="10"/>
  <c r="I33" i="8"/>
  <c r="B25" i="37"/>
  <c r="F25" i="37"/>
  <c r="H25" i="37" s="1"/>
  <c r="B34" i="3"/>
  <c r="F34" i="3"/>
  <c r="G34" i="3" s="1"/>
  <c r="H29" i="29"/>
  <c r="I29" i="29" s="1"/>
  <c r="G105" i="42" l="1"/>
  <c r="D106" i="42"/>
  <c r="I34" i="6"/>
  <c r="J104" i="42"/>
  <c r="G105" i="13"/>
  <c r="D106" i="13"/>
  <c r="H26" i="13"/>
  <c r="I26" i="13" s="1"/>
  <c r="G27" i="30"/>
  <c r="I27" i="30" s="1"/>
  <c r="I104" i="44"/>
  <c r="H104" i="44"/>
  <c r="G25" i="37"/>
  <c r="B105" i="44"/>
  <c r="E105" i="44"/>
  <c r="F105" i="44" s="1"/>
  <c r="G24" i="45"/>
  <c r="I24" i="45" s="1"/>
  <c r="G28" i="28"/>
  <c r="I28" i="28" s="1"/>
  <c r="I35" i="9"/>
  <c r="G25" i="43"/>
  <c r="I25" i="43" s="1"/>
  <c r="F29" i="27"/>
  <c r="H29" i="27" s="1"/>
  <c r="B29" i="27"/>
  <c r="D25" i="44"/>
  <c r="E25" i="44"/>
  <c r="H25" i="41"/>
  <c r="I25" i="41" s="1"/>
  <c r="H31" i="23"/>
  <c r="D35" i="6"/>
  <c r="E35" i="6"/>
  <c r="G24" i="44"/>
  <c r="I24" i="44" s="1"/>
  <c r="H34" i="3"/>
  <c r="I34" i="3" s="1"/>
  <c r="I25" i="37"/>
  <c r="G34" i="4"/>
  <c r="I34" i="4" s="1"/>
  <c r="F36" i="9"/>
  <c r="B36" i="9"/>
  <c r="J104" i="38"/>
  <c r="I115" i="10"/>
  <c r="H115" i="10"/>
  <c r="H109" i="24"/>
  <c r="I109" i="24"/>
  <c r="J109" i="24" s="1"/>
  <c r="H106" i="30"/>
  <c r="I106" i="30"/>
  <c r="J106" i="30" s="1"/>
  <c r="F108" i="28"/>
  <c r="B108" i="28"/>
  <c r="F105" i="40"/>
  <c r="B105" i="40"/>
  <c r="I113" i="8"/>
  <c r="H113" i="8"/>
  <c r="B112" i="25"/>
  <c r="F112" i="25"/>
  <c r="F110" i="24"/>
  <c r="B110" i="24"/>
  <c r="B116" i="7"/>
  <c r="F116" i="7"/>
  <c r="H112" i="5"/>
  <c r="I112" i="5"/>
  <c r="J112" i="5" s="1"/>
  <c r="I112" i="4"/>
  <c r="J112" i="4" s="1"/>
  <c r="H112" i="4"/>
  <c r="B115" i="11"/>
  <c r="F115" i="11"/>
  <c r="H104" i="37"/>
  <c r="I104" i="37"/>
  <c r="F112" i="22"/>
  <c r="B112" i="22"/>
  <c r="B114" i="8"/>
  <c r="F114" i="8"/>
  <c r="F116" i="10"/>
  <c r="B116" i="10"/>
  <c r="F113" i="3"/>
  <c r="B113" i="3"/>
  <c r="B114" i="6"/>
  <c r="F114" i="6"/>
  <c r="I115" i="7"/>
  <c r="H115" i="7"/>
  <c r="F105" i="37"/>
  <c r="B105" i="37"/>
  <c r="H114" i="9"/>
  <c r="I114" i="9"/>
  <c r="J114" i="9" s="1"/>
  <c r="B113" i="4"/>
  <c r="F113" i="4"/>
  <c r="B111" i="23"/>
  <c r="F111" i="23"/>
  <c r="H108" i="27"/>
  <c r="I108" i="27"/>
  <c r="J108" i="27" s="1"/>
  <c r="G105" i="38"/>
  <c r="E106" i="38"/>
  <c r="D106" i="38"/>
  <c r="B113" i="5"/>
  <c r="F113" i="5"/>
  <c r="I114" i="11"/>
  <c r="H114" i="11"/>
  <c r="I110" i="23"/>
  <c r="J110" i="23" s="1"/>
  <c r="H110" i="23"/>
  <c r="J104" i="39"/>
  <c r="H104" i="40"/>
  <c r="I104" i="40"/>
  <c r="J104" i="40" s="1"/>
  <c r="H111" i="25"/>
  <c r="I111" i="25"/>
  <c r="J111" i="25" s="1"/>
  <c r="H112" i="3"/>
  <c r="I112" i="3"/>
  <c r="J112" i="3" s="1"/>
  <c r="I113" i="6"/>
  <c r="H113" i="6"/>
  <c r="B107" i="30"/>
  <c r="F107" i="30"/>
  <c r="B115" i="9"/>
  <c r="F115" i="9"/>
  <c r="H111" i="22"/>
  <c r="I111" i="22"/>
  <c r="J111" i="22" s="1"/>
  <c r="I107" i="28"/>
  <c r="J107" i="28" s="1"/>
  <c r="H107" i="28"/>
  <c r="B109" i="27"/>
  <c r="F109" i="27"/>
  <c r="J108" i="29"/>
  <c r="D110" i="29"/>
  <c r="G109" i="29"/>
  <c r="E110" i="29"/>
  <c r="D37" i="11"/>
  <c r="E37" i="11"/>
  <c r="H104" i="45"/>
  <c r="I104" i="45"/>
  <c r="I27" i="31"/>
  <c r="G36" i="11"/>
  <c r="D26" i="41"/>
  <c r="E26" i="41"/>
  <c r="D28" i="30"/>
  <c r="E28" i="30"/>
  <c r="E27" i="39"/>
  <c r="D27" i="39"/>
  <c r="B105" i="41"/>
  <c r="F105" i="41"/>
  <c r="B105" i="45"/>
  <c r="D31" i="24"/>
  <c r="E31" i="24"/>
  <c r="I31" i="23"/>
  <c r="E35" i="5"/>
  <c r="D35" i="5"/>
  <c r="B109" i="31"/>
  <c r="F109" i="31"/>
  <c r="D25" i="45"/>
  <c r="E25" i="45"/>
  <c r="I104" i="43"/>
  <c r="H104" i="43"/>
  <c r="H26" i="39"/>
  <c r="B30" i="29"/>
  <c r="F30" i="29"/>
  <c r="H30" i="29" s="1"/>
  <c r="D29" i="28"/>
  <c r="E29" i="28"/>
  <c r="D35" i="8"/>
  <c r="E35" i="8"/>
  <c r="B105" i="43"/>
  <c r="F105" i="43"/>
  <c r="G26" i="39"/>
  <c r="D33" i="22"/>
  <c r="E33" i="22"/>
  <c r="D25" i="42"/>
  <c r="E25" i="42"/>
  <c r="D38" i="7"/>
  <c r="E38" i="7"/>
  <c r="G24" i="42"/>
  <c r="D26" i="37"/>
  <c r="E26" i="37"/>
  <c r="I36" i="10"/>
  <c r="D26" i="38"/>
  <c r="E26" i="38"/>
  <c r="D27" i="13"/>
  <c r="D26" i="40"/>
  <c r="E26" i="40"/>
  <c r="H36" i="11"/>
  <c r="G34" i="5"/>
  <c r="I34" i="5" s="1"/>
  <c r="H108" i="31"/>
  <c r="I108" i="31"/>
  <c r="G25" i="38"/>
  <c r="I25" i="38" s="1"/>
  <c r="G25" i="40"/>
  <c r="I25" i="40" s="1"/>
  <c r="D32" i="23"/>
  <c r="E32" i="23"/>
  <c r="D35" i="4"/>
  <c r="E35" i="4"/>
  <c r="B28" i="31"/>
  <c r="F28" i="31"/>
  <c r="G28" i="31" s="1"/>
  <c r="D33" i="25"/>
  <c r="E33" i="25"/>
  <c r="D35" i="3"/>
  <c r="E35" i="3"/>
  <c r="D37" i="10"/>
  <c r="E37" i="10"/>
  <c r="D26" i="43"/>
  <c r="E26" i="43"/>
  <c r="H24" i="42"/>
  <c r="G30" i="24"/>
  <c r="I30" i="24" s="1"/>
  <c r="H37" i="7"/>
  <c r="I37" i="7" s="1"/>
  <c r="I104" i="41"/>
  <c r="H104" i="41"/>
  <c r="G34" i="8"/>
  <c r="I34" i="8" s="1"/>
  <c r="G32" i="25"/>
  <c r="I32" i="25" s="1"/>
  <c r="D106" i="39"/>
  <c r="G105" i="39"/>
  <c r="E106" i="39"/>
  <c r="E105" i="45"/>
  <c r="F105" i="45" s="1"/>
  <c r="G32" i="22"/>
  <c r="I32" i="22" s="1"/>
  <c r="E106" i="42" l="1"/>
  <c r="B106" i="42"/>
  <c r="F106" i="42"/>
  <c r="G30" i="29"/>
  <c r="J104" i="44"/>
  <c r="H105" i="42"/>
  <c r="I105" i="42"/>
  <c r="J105" i="42" s="1"/>
  <c r="I29" i="27"/>
  <c r="I26" i="39"/>
  <c r="G29" i="27"/>
  <c r="E106" i="13"/>
  <c r="F106" i="13" s="1"/>
  <c r="B106" i="13"/>
  <c r="G105" i="44"/>
  <c r="D106" i="44"/>
  <c r="H105" i="13"/>
  <c r="I105" i="13"/>
  <c r="G36" i="9"/>
  <c r="D37" i="9"/>
  <c r="E37" i="9"/>
  <c r="H28" i="31"/>
  <c r="I28" i="31" s="1"/>
  <c r="B35" i="6"/>
  <c r="F35" i="6"/>
  <c r="B25" i="44"/>
  <c r="F25" i="44"/>
  <c r="G25" i="44" s="1"/>
  <c r="E30" i="27"/>
  <c r="D30" i="27"/>
  <c r="J104" i="37"/>
  <c r="H36" i="9"/>
  <c r="F106" i="38"/>
  <c r="B106" i="38"/>
  <c r="G105" i="37"/>
  <c r="D106" i="37"/>
  <c r="E106" i="37"/>
  <c r="D117" i="10"/>
  <c r="G116" i="10"/>
  <c r="E117" i="10"/>
  <c r="G112" i="22"/>
  <c r="D113" i="22"/>
  <c r="E113" i="22"/>
  <c r="D111" i="24"/>
  <c r="E111" i="24"/>
  <c r="G110" i="24"/>
  <c r="J113" i="8"/>
  <c r="D109" i="28"/>
  <c r="G108" i="28"/>
  <c r="E109" i="28"/>
  <c r="D114" i="4"/>
  <c r="E114" i="4"/>
  <c r="G113" i="4"/>
  <c r="G114" i="6"/>
  <c r="E115" i="6"/>
  <c r="D115" i="6"/>
  <c r="J108" i="31"/>
  <c r="E116" i="9"/>
  <c r="D116" i="9"/>
  <c r="G115" i="9"/>
  <c r="J114" i="11"/>
  <c r="G111" i="23"/>
  <c r="D112" i="23"/>
  <c r="E112" i="23"/>
  <c r="G114" i="8"/>
  <c r="D115" i="8"/>
  <c r="E115" i="8"/>
  <c r="G116" i="7"/>
  <c r="E117" i="7"/>
  <c r="D117" i="7"/>
  <c r="G112" i="25"/>
  <c r="E113" i="25"/>
  <c r="D113" i="25"/>
  <c r="E110" i="27"/>
  <c r="D110" i="27"/>
  <c r="G109" i="27"/>
  <c r="E108" i="30"/>
  <c r="D108" i="30"/>
  <c r="G107" i="30"/>
  <c r="D116" i="11"/>
  <c r="G115" i="11"/>
  <c r="E116" i="11"/>
  <c r="J113" i="6"/>
  <c r="D114" i="5"/>
  <c r="G113" i="5"/>
  <c r="E114" i="5"/>
  <c r="I105" i="38"/>
  <c r="H105" i="38"/>
  <c r="J115" i="7"/>
  <c r="E114" i="3"/>
  <c r="D114" i="3"/>
  <c r="G113" i="3"/>
  <c r="E106" i="40"/>
  <c r="G105" i="40"/>
  <c r="D106" i="40"/>
  <c r="J115" i="10"/>
  <c r="F110" i="29"/>
  <c r="B110" i="29"/>
  <c r="H109" i="29"/>
  <c r="I109" i="29"/>
  <c r="J109" i="29" s="1"/>
  <c r="G105" i="45"/>
  <c r="D106" i="45"/>
  <c r="E106" i="45" s="1"/>
  <c r="F26" i="41"/>
  <c r="H26" i="41" s="1"/>
  <c r="B26" i="41"/>
  <c r="I36" i="11"/>
  <c r="F38" i="7"/>
  <c r="H38" i="7" s="1"/>
  <c r="B38" i="7"/>
  <c r="D106" i="43"/>
  <c r="G105" i="43"/>
  <c r="E106" i="43"/>
  <c r="F35" i="5"/>
  <c r="G35" i="5" s="1"/>
  <c r="B35" i="5"/>
  <c r="B35" i="4"/>
  <c r="F35" i="4"/>
  <c r="G35" i="4" s="1"/>
  <c r="B27" i="39"/>
  <c r="F27" i="39"/>
  <c r="G27" i="39" s="1"/>
  <c r="I24" i="42"/>
  <c r="F26" i="37"/>
  <c r="H26" i="37" s="1"/>
  <c r="B26" i="37"/>
  <c r="F26" i="40"/>
  <c r="H26" i="40" s="1"/>
  <c r="B26" i="40"/>
  <c r="F25" i="42"/>
  <c r="G25" i="42" s="1"/>
  <c r="B25" i="42"/>
  <c r="G105" i="41"/>
  <c r="D106" i="41"/>
  <c r="E106" i="41"/>
  <c r="H25" i="45"/>
  <c r="B25" i="45"/>
  <c r="F25" i="45"/>
  <c r="B26" i="43"/>
  <c r="F26" i="43"/>
  <c r="B35" i="3"/>
  <c r="F35" i="3"/>
  <c r="B33" i="25"/>
  <c r="F33" i="25"/>
  <c r="G33" i="25" s="1"/>
  <c r="B27" i="13"/>
  <c r="F33" i="22"/>
  <c r="G33" i="22" s="1"/>
  <c r="B33" i="22"/>
  <c r="F35" i="8"/>
  <c r="G35" i="8" s="1"/>
  <c r="B35" i="8"/>
  <c r="I30" i="29"/>
  <c r="B106" i="39"/>
  <c r="F106" i="39"/>
  <c r="J104" i="41"/>
  <c r="B26" i="38"/>
  <c r="F26" i="38"/>
  <c r="H26" i="38" s="1"/>
  <c r="F32" i="23"/>
  <c r="G32" i="23" s="1"/>
  <c r="B32" i="23"/>
  <c r="F29" i="28"/>
  <c r="G29" i="28" s="1"/>
  <c r="B29" i="28"/>
  <c r="J104" i="43"/>
  <c r="G37" i="11"/>
  <c r="B37" i="11"/>
  <c r="F37" i="11"/>
  <c r="H37" i="11" s="1"/>
  <c r="B37" i="10"/>
  <c r="F37" i="10"/>
  <c r="G37" i="10" s="1"/>
  <c r="H105" i="39"/>
  <c r="I105" i="39"/>
  <c r="D29" i="31"/>
  <c r="E29" i="31"/>
  <c r="E27" i="13"/>
  <c r="F27" i="13" s="1"/>
  <c r="D31" i="29"/>
  <c r="E31" i="29"/>
  <c r="G109" i="31"/>
  <c r="E110" i="31"/>
  <c r="D110" i="31"/>
  <c r="F31" i="24"/>
  <c r="G31" i="24" s="1"/>
  <c r="B31" i="24"/>
  <c r="F28" i="30"/>
  <c r="G28" i="30" s="1"/>
  <c r="B28" i="30"/>
  <c r="J104" i="45"/>
  <c r="H35" i="8" l="1"/>
  <c r="G106" i="42"/>
  <c r="D107" i="42"/>
  <c r="H29" i="28"/>
  <c r="I29" i="28" s="1"/>
  <c r="I36" i="9"/>
  <c r="G26" i="37"/>
  <c r="B106" i="44"/>
  <c r="E106" i="44"/>
  <c r="F106" i="44" s="1"/>
  <c r="J105" i="39"/>
  <c r="I105" i="44"/>
  <c r="H105" i="44"/>
  <c r="H33" i="22"/>
  <c r="G26" i="40"/>
  <c r="J105" i="13"/>
  <c r="G106" i="13"/>
  <c r="D107" i="13"/>
  <c r="B30" i="27"/>
  <c r="F30" i="27"/>
  <c r="H35" i="6"/>
  <c r="E36" i="6"/>
  <c r="D36" i="6"/>
  <c r="H28" i="30"/>
  <c r="I28" i="30" s="1"/>
  <c r="H35" i="4"/>
  <c r="I35" i="4" s="1"/>
  <c r="G35" i="6"/>
  <c r="B37" i="9"/>
  <c r="F37" i="9"/>
  <c r="H37" i="9" s="1"/>
  <c r="G37" i="9"/>
  <c r="H25" i="44"/>
  <c r="I25" i="44" s="1"/>
  <c r="D26" i="44"/>
  <c r="E26" i="44"/>
  <c r="H113" i="3"/>
  <c r="I113" i="3"/>
  <c r="J113" i="3" s="1"/>
  <c r="B114" i="5"/>
  <c r="F114" i="5"/>
  <c r="F116" i="11"/>
  <c r="B116" i="11"/>
  <c r="I109" i="27"/>
  <c r="J109" i="27" s="1"/>
  <c r="H109" i="27"/>
  <c r="I116" i="7"/>
  <c r="H116" i="7"/>
  <c r="H115" i="9"/>
  <c r="I115" i="9"/>
  <c r="B115" i="6"/>
  <c r="F115" i="6"/>
  <c r="F109" i="28"/>
  <c r="B109" i="28"/>
  <c r="F111" i="24"/>
  <c r="B111" i="24"/>
  <c r="B106" i="37"/>
  <c r="F106" i="37"/>
  <c r="F106" i="40"/>
  <c r="B106" i="40"/>
  <c r="B114" i="3"/>
  <c r="F114" i="3"/>
  <c r="J105" i="38"/>
  <c r="I107" i="30"/>
  <c r="H107" i="30"/>
  <c r="B110" i="27"/>
  <c r="F110" i="27"/>
  <c r="I112" i="25"/>
  <c r="H112" i="25"/>
  <c r="B112" i="23"/>
  <c r="F112" i="23"/>
  <c r="B116" i="9"/>
  <c r="F116" i="9"/>
  <c r="F114" i="4"/>
  <c r="B114" i="4"/>
  <c r="H116" i="10"/>
  <c r="I116" i="10"/>
  <c r="J116" i="10" s="1"/>
  <c r="I105" i="37"/>
  <c r="H105" i="37"/>
  <c r="H105" i="40"/>
  <c r="I105" i="40"/>
  <c r="B108" i="30"/>
  <c r="F108" i="30"/>
  <c r="B117" i="7"/>
  <c r="F117" i="7"/>
  <c r="F115" i="8"/>
  <c r="B115" i="8"/>
  <c r="H111" i="23"/>
  <c r="I111" i="23"/>
  <c r="I114" i="6"/>
  <c r="J114" i="6" s="1"/>
  <c r="H114" i="6"/>
  <c r="I110" i="24"/>
  <c r="H110" i="24"/>
  <c r="B113" i="22"/>
  <c r="F113" i="22"/>
  <c r="F117" i="10"/>
  <c r="B117" i="10"/>
  <c r="H113" i="5"/>
  <c r="I113" i="5"/>
  <c r="I115" i="11"/>
  <c r="H115" i="11"/>
  <c r="F113" i="25"/>
  <c r="B113" i="25"/>
  <c r="H114" i="8"/>
  <c r="I114" i="8"/>
  <c r="J114" i="8" s="1"/>
  <c r="I113" i="4"/>
  <c r="J113" i="4" s="1"/>
  <c r="H113" i="4"/>
  <c r="I108" i="28"/>
  <c r="H108" i="28"/>
  <c r="I112" i="22"/>
  <c r="J112" i="22" s="1"/>
  <c r="H112" i="22"/>
  <c r="G106" i="38"/>
  <c r="D107" i="38"/>
  <c r="E107" i="38"/>
  <c r="G110" i="29"/>
  <c r="E111" i="29"/>
  <c r="D111" i="29"/>
  <c r="D28" i="13"/>
  <c r="G27" i="13"/>
  <c r="H27" i="13"/>
  <c r="I26" i="40"/>
  <c r="D28" i="39"/>
  <c r="E28" i="39"/>
  <c r="D39" i="7"/>
  <c r="E39" i="7"/>
  <c r="D27" i="41"/>
  <c r="E27" i="41"/>
  <c r="E107" i="39"/>
  <c r="G106" i="39"/>
  <c r="D107" i="39"/>
  <c r="D34" i="25"/>
  <c r="E34" i="25"/>
  <c r="I26" i="37"/>
  <c r="H27" i="39"/>
  <c r="I27" i="39" s="1"/>
  <c r="D36" i="5"/>
  <c r="E36" i="5"/>
  <c r="B106" i="43"/>
  <c r="F106" i="43"/>
  <c r="B110" i="31"/>
  <c r="F110" i="31"/>
  <c r="H109" i="31"/>
  <c r="I109" i="31"/>
  <c r="J109" i="31" s="1"/>
  <c r="H37" i="10"/>
  <c r="I37" i="10" s="1"/>
  <c r="E27" i="43"/>
  <c r="D27" i="43"/>
  <c r="I105" i="43"/>
  <c r="H105" i="43"/>
  <c r="B29" i="31"/>
  <c r="F29" i="31"/>
  <c r="G29" i="31"/>
  <c r="H29" i="31"/>
  <c r="D38" i="11"/>
  <c r="E38" i="11"/>
  <c r="D30" i="28"/>
  <c r="E30" i="28"/>
  <c r="G26" i="38"/>
  <c r="I26" i="38" s="1"/>
  <c r="H33" i="25"/>
  <c r="I33" i="25" s="1"/>
  <c r="G26" i="43"/>
  <c r="H25" i="42"/>
  <c r="I25" i="42" s="1"/>
  <c r="D27" i="37"/>
  <c r="E27" i="37"/>
  <c r="H35" i="5"/>
  <c r="I35" i="5" s="1"/>
  <c r="D29" i="30"/>
  <c r="E29" i="30"/>
  <c r="D34" i="22"/>
  <c r="E34" i="22"/>
  <c r="H26" i="43"/>
  <c r="E36" i="4"/>
  <c r="D36" i="4"/>
  <c r="E33" i="23"/>
  <c r="D33" i="23"/>
  <c r="D36" i="3"/>
  <c r="E36" i="3"/>
  <c r="D32" i="24"/>
  <c r="E32" i="24"/>
  <c r="H32" i="23"/>
  <c r="I32" i="23" s="1"/>
  <c r="D27" i="38"/>
  <c r="E27" i="38"/>
  <c r="I35" i="8"/>
  <c r="G35" i="3"/>
  <c r="D26" i="45"/>
  <c r="E26" i="45"/>
  <c r="F106" i="41"/>
  <c r="B106" i="41"/>
  <c r="D26" i="42"/>
  <c r="E26" i="42"/>
  <c r="G38" i="7"/>
  <c r="I38" i="7" s="1"/>
  <c r="B106" i="45"/>
  <c r="F106" i="45"/>
  <c r="D38" i="10"/>
  <c r="E38" i="10"/>
  <c r="I33" i="22"/>
  <c r="D27" i="40"/>
  <c r="E27" i="40"/>
  <c r="F31" i="29"/>
  <c r="G31" i="29" s="1"/>
  <c r="B31" i="29"/>
  <c r="H31" i="24"/>
  <c r="I31" i="24" s="1"/>
  <c r="I37" i="11"/>
  <c r="D36" i="8"/>
  <c r="E36" i="8"/>
  <c r="H35" i="3"/>
  <c r="G25" i="45"/>
  <c r="I25" i="45" s="1"/>
  <c r="I105" i="41"/>
  <c r="H105" i="41"/>
  <c r="G26" i="41"/>
  <c r="I26" i="41" s="1"/>
  <c r="H105" i="45"/>
  <c r="I105" i="45"/>
  <c r="B107" i="42" l="1"/>
  <c r="E107" i="42"/>
  <c r="F107" i="42" s="1"/>
  <c r="I106" i="42"/>
  <c r="H106" i="42"/>
  <c r="I26" i="43"/>
  <c r="I29" i="31"/>
  <c r="I27" i="13"/>
  <c r="I37" i="9"/>
  <c r="E107" i="13"/>
  <c r="F107" i="13" s="1"/>
  <c r="B107" i="13"/>
  <c r="D107" i="44"/>
  <c r="E107" i="44" s="1"/>
  <c r="G106" i="44"/>
  <c r="H106" i="13"/>
  <c r="I106" i="13"/>
  <c r="J105" i="44"/>
  <c r="D31" i="27"/>
  <c r="E31" i="27"/>
  <c r="B36" i="6"/>
  <c r="F36" i="6"/>
  <c r="J105" i="37"/>
  <c r="I35" i="6"/>
  <c r="H30" i="27"/>
  <c r="J105" i="40"/>
  <c r="B26" i="44"/>
  <c r="F26" i="44"/>
  <c r="H26" i="44" s="1"/>
  <c r="E38" i="9"/>
  <c r="D38" i="9"/>
  <c r="G30" i="27"/>
  <c r="D114" i="25"/>
  <c r="E114" i="25"/>
  <c r="G113" i="25"/>
  <c r="D116" i="8"/>
  <c r="E116" i="8"/>
  <c r="G115" i="8"/>
  <c r="G114" i="4"/>
  <c r="D115" i="4"/>
  <c r="E115" i="4"/>
  <c r="G114" i="3"/>
  <c r="E115" i="3"/>
  <c r="D115" i="3"/>
  <c r="D107" i="37"/>
  <c r="E107" i="37"/>
  <c r="G106" i="37"/>
  <c r="J115" i="9"/>
  <c r="E115" i="5"/>
  <c r="G114" i="5"/>
  <c r="D115" i="5"/>
  <c r="B107" i="38"/>
  <c r="F107" i="38"/>
  <c r="J111" i="23"/>
  <c r="D118" i="7"/>
  <c r="E118" i="7"/>
  <c r="G117" i="7"/>
  <c r="E117" i="9"/>
  <c r="D117" i="9"/>
  <c r="G116" i="9"/>
  <c r="E110" i="28"/>
  <c r="G109" i="28"/>
  <c r="D110" i="28"/>
  <c r="J105" i="45"/>
  <c r="I106" i="38"/>
  <c r="H106" i="38"/>
  <c r="J108" i="28"/>
  <c r="J115" i="11"/>
  <c r="D118" i="10"/>
  <c r="G117" i="10"/>
  <c r="E118" i="10"/>
  <c r="J110" i="24"/>
  <c r="J112" i="25"/>
  <c r="J107" i="30"/>
  <c r="D116" i="6"/>
  <c r="E116" i="6"/>
  <c r="G115" i="6"/>
  <c r="J113" i="5"/>
  <c r="G113" i="22"/>
  <c r="D114" i="22"/>
  <c r="E114" i="22"/>
  <c r="D109" i="30"/>
  <c r="E109" i="30"/>
  <c r="G108" i="30"/>
  <c r="D113" i="23"/>
  <c r="G112" i="23"/>
  <c r="E113" i="23"/>
  <c r="D111" i="27"/>
  <c r="E111" i="27"/>
  <c r="G110" i="27"/>
  <c r="G106" i="40"/>
  <c r="D107" i="40"/>
  <c r="E107" i="40"/>
  <c r="G111" i="24"/>
  <c r="D112" i="24"/>
  <c r="E112" i="24"/>
  <c r="J116" i="7"/>
  <c r="D117" i="11"/>
  <c r="G116" i="11"/>
  <c r="E117" i="11"/>
  <c r="B111" i="29"/>
  <c r="F111" i="29"/>
  <c r="H110" i="29"/>
  <c r="I110" i="29"/>
  <c r="D107" i="41"/>
  <c r="G106" i="41"/>
  <c r="E107" i="41"/>
  <c r="F38" i="11"/>
  <c r="G38" i="11" s="1"/>
  <c r="B38" i="11"/>
  <c r="B27" i="37"/>
  <c r="F27" i="37"/>
  <c r="G27" i="37" s="1"/>
  <c r="D111" i="31"/>
  <c r="G110" i="31"/>
  <c r="E111" i="31"/>
  <c r="D32" i="29"/>
  <c r="E32" i="29"/>
  <c r="B38" i="10"/>
  <c r="F38" i="10"/>
  <c r="H38" i="10" s="1"/>
  <c r="F26" i="45"/>
  <c r="G26" i="45" s="1"/>
  <c r="H26" i="45"/>
  <c r="B26" i="45"/>
  <c r="B29" i="30"/>
  <c r="F29" i="30"/>
  <c r="G29" i="30" s="1"/>
  <c r="J105" i="43"/>
  <c r="B27" i="41"/>
  <c r="F27" i="41"/>
  <c r="G27" i="41" s="1"/>
  <c r="B33" i="23"/>
  <c r="F33" i="23"/>
  <c r="H33" i="23" s="1"/>
  <c r="B36" i="5"/>
  <c r="F36" i="5"/>
  <c r="H36" i="5" s="1"/>
  <c r="I35" i="3"/>
  <c r="H31" i="29"/>
  <c r="I31" i="29" s="1"/>
  <c r="G106" i="45"/>
  <c r="D107" i="45"/>
  <c r="E107" i="45" s="1"/>
  <c r="F27" i="38"/>
  <c r="G27" i="38" s="1"/>
  <c r="B27" i="38"/>
  <c r="B36" i="4"/>
  <c r="F36" i="4"/>
  <c r="G36" i="4" s="1"/>
  <c r="D30" i="31"/>
  <c r="E30" i="31"/>
  <c r="G27" i="43"/>
  <c r="B27" i="43"/>
  <c r="F27" i="43"/>
  <c r="H106" i="39"/>
  <c r="I106" i="39"/>
  <c r="F34" i="22"/>
  <c r="B34" i="22"/>
  <c r="F36" i="3"/>
  <c r="H36" i="3" s="1"/>
  <c r="B36" i="3"/>
  <c r="D107" i="43"/>
  <c r="G106" i="43"/>
  <c r="E107" i="43"/>
  <c r="B39" i="7"/>
  <c r="F39" i="7"/>
  <c r="G39" i="7" s="1"/>
  <c r="B28" i="13"/>
  <c r="F36" i="8"/>
  <c r="G36" i="8" s="1"/>
  <c r="B36" i="8"/>
  <c r="F27" i="40"/>
  <c r="H27" i="40" s="1"/>
  <c r="B27" i="40"/>
  <c r="F30" i="28"/>
  <c r="G30" i="28" s="1"/>
  <c r="B30" i="28"/>
  <c r="B34" i="25"/>
  <c r="F34" i="25"/>
  <c r="G34" i="25" s="1"/>
  <c r="E28" i="13"/>
  <c r="F28" i="13" s="1"/>
  <c r="J105" i="41"/>
  <c r="B26" i="42"/>
  <c r="F26" i="42"/>
  <c r="G26" i="42" s="1"/>
  <c r="B32" i="24"/>
  <c r="F32" i="24"/>
  <c r="G32" i="24" s="1"/>
  <c r="F107" i="39"/>
  <c r="B107" i="39"/>
  <c r="F28" i="39"/>
  <c r="G28" i="39" s="1"/>
  <c r="B28" i="39"/>
  <c r="H27" i="38" l="1"/>
  <c r="J106" i="42"/>
  <c r="G107" i="42"/>
  <c r="D108" i="42"/>
  <c r="G107" i="13"/>
  <c r="D108" i="13"/>
  <c r="H30" i="28"/>
  <c r="I30" i="28" s="1"/>
  <c r="G26" i="44"/>
  <c r="I26" i="44" s="1"/>
  <c r="H106" i="44"/>
  <c r="I106" i="44"/>
  <c r="J106" i="44" s="1"/>
  <c r="I27" i="38"/>
  <c r="G38" i="10"/>
  <c r="I38" i="10" s="1"/>
  <c r="H27" i="37"/>
  <c r="H38" i="11"/>
  <c r="I38" i="11" s="1"/>
  <c r="H32" i="24"/>
  <c r="I32" i="24" s="1"/>
  <c r="H34" i="25"/>
  <c r="I34" i="25" s="1"/>
  <c r="H36" i="4"/>
  <c r="H29" i="30"/>
  <c r="I30" i="27"/>
  <c r="J106" i="13"/>
  <c r="B107" i="44"/>
  <c r="F107" i="44"/>
  <c r="F38" i="9"/>
  <c r="G38" i="9" s="1"/>
  <c r="B38" i="9"/>
  <c r="G36" i="6"/>
  <c r="D37" i="6"/>
  <c r="E37" i="6"/>
  <c r="G27" i="40"/>
  <c r="I27" i="40" s="1"/>
  <c r="H36" i="8"/>
  <c r="I36" i="8" s="1"/>
  <c r="H27" i="41"/>
  <c r="I27" i="41" s="1"/>
  <c r="H39" i="7"/>
  <c r="I39" i="7" s="1"/>
  <c r="E27" i="44"/>
  <c r="D27" i="44"/>
  <c r="H36" i="6"/>
  <c r="I36" i="6" s="1"/>
  <c r="B31" i="27"/>
  <c r="F31" i="27"/>
  <c r="H31" i="27" s="1"/>
  <c r="F107" i="40"/>
  <c r="B107" i="40"/>
  <c r="F111" i="27"/>
  <c r="B111" i="27"/>
  <c r="H108" i="30"/>
  <c r="I108" i="30"/>
  <c r="J108" i="30" s="1"/>
  <c r="F114" i="22"/>
  <c r="B114" i="22"/>
  <c r="I116" i="9"/>
  <c r="H116" i="9"/>
  <c r="F115" i="3"/>
  <c r="B115" i="3"/>
  <c r="B115" i="4"/>
  <c r="F115" i="4"/>
  <c r="B116" i="8"/>
  <c r="F116" i="8"/>
  <c r="H116" i="11"/>
  <c r="I116" i="11"/>
  <c r="J116" i="11" s="1"/>
  <c r="B112" i="24"/>
  <c r="F112" i="24"/>
  <c r="H106" i="40"/>
  <c r="I106" i="40"/>
  <c r="H113" i="22"/>
  <c r="I113" i="22"/>
  <c r="J113" i="22" s="1"/>
  <c r="B116" i="6"/>
  <c r="F116" i="6"/>
  <c r="B110" i="28"/>
  <c r="F110" i="28"/>
  <c r="B117" i="9"/>
  <c r="F117" i="9"/>
  <c r="F118" i="7"/>
  <c r="B118" i="7"/>
  <c r="B115" i="5"/>
  <c r="F115" i="5"/>
  <c r="I106" i="37"/>
  <c r="H106" i="37"/>
  <c r="H114" i="4"/>
  <c r="I114" i="4"/>
  <c r="J114" i="4" s="1"/>
  <c r="I113" i="25"/>
  <c r="H113" i="25"/>
  <c r="J110" i="29"/>
  <c r="B117" i="11"/>
  <c r="F117" i="11"/>
  <c r="H111" i="24"/>
  <c r="I111" i="24"/>
  <c r="H110" i="27"/>
  <c r="I110" i="27"/>
  <c r="J110" i="27" s="1"/>
  <c r="H112" i="23"/>
  <c r="I112" i="23"/>
  <c r="F109" i="30"/>
  <c r="B109" i="30"/>
  <c r="H117" i="10"/>
  <c r="I117" i="10"/>
  <c r="I109" i="28"/>
  <c r="H109" i="28"/>
  <c r="I114" i="5"/>
  <c r="J114" i="5" s="1"/>
  <c r="H114" i="5"/>
  <c r="H114" i="3"/>
  <c r="I114" i="3"/>
  <c r="J114" i="3" s="1"/>
  <c r="I115" i="8"/>
  <c r="J115" i="8" s="1"/>
  <c r="H115" i="8"/>
  <c r="B113" i="23"/>
  <c r="F113" i="23"/>
  <c r="I115" i="6"/>
  <c r="J115" i="6" s="1"/>
  <c r="H115" i="6"/>
  <c r="B118" i="10"/>
  <c r="F118" i="10"/>
  <c r="J106" i="38"/>
  <c r="H117" i="7"/>
  <c r="I117" i="7"/>
  <c r="J117" i="7" s="1"/>
  <c r="E108" i="38"/>
  <c r="G107" i="38"/>
  <c r="D108" i="38"/>
  <c r="F107" i="37"/>
  <c r="B107" i="37"/>
  <c r="F114" i="25"/>
  <c r="B114" i="25"/>
  <c r="G111" i="29"/>
  <c r="D112" i="29"/>
  <c r="E112" i="29"/>
  <c r="J106" i="39"/>
  <c r="H106" i="43"/>
  <c r="I106" i="43"/>
  <c r="J106" i="43" s="1"/>
  <c r="B30" i="31"/>
  <c r="F30" i="31"/>
  <c r="H30" i="31" s="1"/>
  <c r="I26" i="45"/>
  <c r="F32" i="29"/>
  <c r="B32" i="29"/>
  <c r="D37" i="8"/>
  <c r="E37" i="8"/>
  <c r="D28" i="43"/>
  <c r="E28" i="43"/>
  <c r="E34" i="23"/>
  <c r="D34" i="23"/>
  <c r="D35" i="22"/>
  <c r="E35" i="22"/>
  <c r="H106" i="45"/>
  <c r="I106" i="45"/>
  <c r="J106" i="45" s="1"/>
  <c r="D27" i="42"/>
  <c r="E27" i="42"/>
  <c r="D33" i="24"/>
  <c r="E33" i="24"/>
  <c r="D27" i="45"/>
  <c r="E27" i="45"/>
  <c r="H110" i="31"/>
  <c r="I110" i="31"/>
  <c r="J110" i="31" s="1"/>
  <c r="D29" i="13"/>
  <c r="E29" i="13" s="1"/>
  <c r="D31" i="28"/>
  <c r="E31" i="28"/>
  <c r="G28" i="13"/>
  <c r="H27" i="43"/>
  <c r="I27" i="43" s="1"/>
  <c r="D28" i="38"/>
  <c r="E28" i="38"/>
  <c r="G33" i="23"/>
  <c r="I33" i="23" s="1"/>
  <c r="B111" i="31"/>
  <c r="F111" i="31"/>
  <c r="D39" i="11"/>
  <c r="E39" i="11"/>
  <c r="B107" i="43"/>
  <c r="F107" i="43"/>
  <c r="D40" i="7"/>
  <c r="E40" i="7"/>
  <c r="D37" i="3"/>
  <c r="E37" i="3"/>
  <c r="D35" i="25"/>
  <c r="E35" i="25"/>
  <c r="H28" i="13"/>
  <c r="H34" i="22"/>
  <c r="I36" i="4"/>
  <c r="D37" i="5"/>
  <c r="E37" i="5"/>
  <c r="I29" i="30"/>
  <c r="I27" i="37"/>
  <c r="H106" i="41"/>
  <c r="I106" i="41"/>
  <c r="E108" i="39"/>
  <c r="G107" i="39"/>
  <c r="D108" i="39"/>
  <c r="D29" i="39"/>
  <c r="E29" i="39"/>
  <c r="H28" i="39"/>
  <c r="I28" i="39" s="1"/>
  <c r="H26" i="42"/>
  <c r="I26" i="42" s="1"/>
  <c r="D28" i="40"/>
  <c r="E28" i="40"/>
  <c r="G36" i="3"/>
  <c r="I36" i="3" s="1"/>
  <c r="G34" i="22"/>
  <c r="E37" i="4"/>
  <c r="D37" i="4"/>
  <c r="B107" i="45"/>
  <c r="F107" i="45"/>
  <c r="G36" i="5"/>
  <c r="I36" i="5" s="1"/>
  <c r="E28" i="41"/>
  <c r="D28" i="41"/>
  <c r="D30" i="30"/>
  <c r="E30" i="30"/>
  <c r="D39" i="10"/>
  <c r="E39" i="10"/>
  <c r="D28" i="37"/>
  <c r="E28" i="37"/>
  <c r="B107" i="41"/>
  <c r="F107" i="41"/>
  <c r="I107" i="42" l="1"/>
  <c r="H107" i="42"/>
  <c r="B108" i="42"/>
  <c r="E108" i="42"/>
  <c r="F108" i="42" s="1"/>
  <c r="H38" i="9"/>
  <c r="I38" i="9" s="1"/>
  <c r="D108" i="44"/>
  <c r="G107" i="44"/>
  <c r="G30" i="31"/>
  <c r="I30" i="31" s="1"/>
  <c r="E108" i="13"/>
  <c r="B108" i="13"/>
  <c r="F108" i="13"/>
  <c r="J106" i="40"/>
  <c r="H107" i="13"/>
  <c r="I107" i="13"/>
  <c r="J107" i="13" s="1"/>
  <c r="F37" i="6"/>
  <c r="H37" i="6" s="1"/>
  <c r="B37" i="6"/>
  <c r="G31" i="27"/>
  <c r="I31" i="27" s="1"/>
  <c r="D32" i="27"/>
  <c r="E32" i="27"/>
  <c r="B27" i="44"/>
  <c r="F27" i="44"/>
  <c r="E39" i="9"/>
  <c r="D39" i="9"/>
  <c r="D115" i="25"/>
  <c r="G114" i="25"/>
  <c r="E115" i="25"/>
  <c r="H107" i="38"/>
  <c r="I107" i="38"/>
  <c r="G110" i="28"/>
  <c r="E111" i="28"/>
  <c r="D111" i="28"/>
  <c r="D113" i="24"/>
  <c r="E113" i="24"/>
  <c r="G112" i="24"/>
  <c r="G116" i="8"/>
  <c r="E117" i="8"/>
  <c r="D117" i="8"/>
  <c r="E119" i="10"/>
  <c r="D119" i="10"/>
  <c r="G118" i="10"/>
  <c r="D114" i="23"/>
  <c r="E114" i="23"/>
  <c r="G113" i="23"/>
  <c r="G117" i="11"/>
  <c r="D118" i="11"/>
  <c r="E118" i="11"/>
  <c r="J113" i="25"/>
  <c r="J106" i="37"/>
  <c r="E119" i="7"/>
  <c r="D119" i="7"/>
  <c r="G118" i="7"/>
  <c r="G115" i="3"/>
  <c r="D116" i="3"/>
  <c r="E116" i="3"/>
  <c r="G114" i="22"/>
  <c r="E115" i="22"/>
  <c r="D115" i="22"/>
  <c r="D112" i="27"/>
  <c r="E112" i="27"/>
  <c r="G111" i="27"/>
  <c r="D108" i="37"/>
  <c r="G107" i="37"/>
  <c r="E108" i="37"/>
  <c r="J109" i="28"/>
  <c r="E110" i="30"/>
  <c r="G109" i="30"/>
  <c r="D110" i="30"/>
  <c r="D116" i="5"/>
  <c r="E116" i="5"/>
  <c r="G115" i="5"/>
  <c r="G117" i="9"/>
  <c r="E118" i="9"/>
  <c r="D118" i="9"/>
  <c r="D117" i="6"/>
  <c r="E117" i="6"/>
  <c r="G116" i="6"/>
  <c r="E116" i="4"/>
  <c r="G115" i="4"/>
  <c r="D116" i="4"/>
  <c r="B108" i="38"/>
  <c r="F108" i="38"/>
  <c r="J117" i="10"/>
  <c r="J112" i="23"/>
  <c r="J111" i="24"/>
  <c r="J116" i="9"/>
  <c r="E108" i="40"/>
  <c r="G107" i="40"/>
  <c r="D108" i="40"/>
  <c r="B112" i="29"/>
  <c r="F112" i="29"/>
  <c r="H111" i="29"/>
  <c r="I111" i="29"/>
  <c r="B35" i="25"/>
  <c r="F35" i="25"/>
  <c r="G35" i="25" s="1"/>
  <c r="F33" i="24"/>
  <c r="G33" i="24" s="1"/>
  <c r="B33" i="24"/>
  <c r="B28" i="37"/>
  <c r="F28" i="37"/>
  <c r="G28" i="37" s="1"/>
  <c r="D108" i="45"/>
  <c r="E108" i="45" s="1"/>
  <c r="G107" i="45"/>
  <c r="B29" i="39"/>
  <c r="F29" i="39"/>
  <c r="J106" i="41"/>
  <c r="I34" i="22"/>
  <c r="F28" i="38"/>
  <c r="G28" i="38" s="1"/>
  <c r="B28" i="38"/>
  <c r="B35" i="22"/>
  <c r="F35" i="22"/>
  <c r="H35" i="22" s="1"/>
  <c r="B34" i="23"/>
  <c r="F34" i="23"/>
  <c r="H107" i="39"/>
  <c r="I107" i="39"/>
  <c r="B37" i="4"/>
  <c r="F37" i="4"/>
  <c r="H37" i="4" s="1"/>
  <c r="G37" i="3"/>
  <c r="B37" i="3"/>
  <c r="F37" i="3"/>
  <c r="H37" i="3" s="1"/>
  <c r="E33" i="29"/>
  <c r="D33" i="29"/>
  <c r="F28" i="43"/>
  <c r="H28" i="43" s="1"/>
  <c r="B28" i="43"/>
  <c r="D108" i="41"/>
  <c r="G107" i="41"/>
  <c r="E108" i="41"/>
  <c r="F28" i="40"/>
  <c r="G28" i="40" s="1"/>
  <c r="B28" i="40"/>
  <c r="I28" i="13"/>
  <c r="E112" i="31"/>
  <c r="D112" i="31"/>
  <c r="G111" i="31"/>
  <c r="B27" i="45"/>
  <c r="F27" i="45"/>
  <c r="H27" i="45" s="1"/>
  <c r="B27" i="42"/>
  <c r="F27" i="42"/>
  <c r="G27" i="42" s="1"/>
  <c r="G32" i="29"/>
  <c r="D31" i="31"/>
  <c r="E31" i="31"/>
  <c r="B31" i="28"/>
  <c r="F31" i="28"/>
  <c r="H31" i="28" s="1"/>
  <c r="B39" i="10"/>
  <c r="F39" i="10"/>
  <c r="H39" i="10" s="1"/>
  <c r="F39" i="11"/>
  <c r="H39" i="11" s="1"/>
  <c r="B39" i="11"/>
  <c r="F29" i="13"/>
  <c r="B29" i="13"/>
  <c r="G30" i="30"/>
  <c r="B30" i="30"/>
  <c r="F30" i="30"/>
  <c r="F40" i="7"/>
  <c r="H40" i="7" s="1"/>
  <c r="B40" i="7"/>
  <c r="B37" i="8"/>
  <c r="F37" i="8"/>
  <c r="G37" i="8" s="1"/>
  <c r="H32" i="29"/>
  <c r="F28" i="41"/>
  <c r="G28" i="41" s="1"/>
  <c r="B28" i="41"/>
  <c r="F108" i="39"/>
  <c r="B108" i="39"/>
  <c r="B37" i="5"/>
  <c r="F37" i="5"/>
  <c r="H37" i="5" s="1"/>
  <c r="D108" i="43"/>
  <c r="G107" i="43"/>
  <c r="E108" i="43"/>
  <c r="G37" i="6" l="1"/>
  <c r="I37" i="6" s="1"/>
  <c r="I32" i="29"/>
  <c r="D109" i="42"/>
  <c r="G108" i="42"/>
  <c r="G39" i="10"/>
  <c r="J107" i="42"/>
  <c r="G28" i="43"/>
  <c r="I28" i="43" s="1"/>
  <c r="H35" i="25"/>
  <c r="J107" i="38"/>
  <c r="D109" i="13"/>
  <c r="G108" i="13"/>
  <c r="I107" i="44"/>
  <c r="H107" i="44"/>
  <c r="H27" i="42"/>
  <c r="E108" i="44"/>
  <c r="F108" i="44" s="1"/>
  <c r="B108" i="44"/>
  <c r="G39" i="11"/>
  <c r="H28" i="40"/>
  <c r="D28" i="44"/>
  <c r="E28" i="44"/>
  <c r="F39" i="9"/>
  <c r="H39" i="9" s="1"/>
  <c r="B39" i="9"/>
  <c r="G27" i="44"/>
  <c r="F32" i="27"/>
  <c r="H32" i="27" s="1"/>
  <c r="B32" i="27"/>
  <c r="G37" i="5"/>
  <c r="I37" i="5" s="1"/>
  <c r="H28" i="41"/>
  <c r="H37" i="8"/>
  <c r="I37" i="8" s="1"/>
  <c r="G27" i="45"/>
  <c r="I27" i="45" s="1"/>
  <c r="H28" i="37"/>
  <c r="I35" i="25"/>
  <c r="I39" i="10"/>
  <c r="I37" i="3"/>
  <c r="H27" i="44"/>
  <c r="I27" i="44" s="1"/>
  <c r="D38" i="6"/>
  <c r="E38" i="6"/>
  <c r="B116" i="4"/>
  <c r="F116" i="4"/>
  <c r="H117" i="9"/>
  <c r="I117" i="9"/>
  <c r="J117" i="9" s="1"/>
  <c r="F110" i="30"/>
  <c r="B110" i="30"/>
  <c r="H114" i="22"/>
  <c r="I114" i="22"/>
  <c r="J114" i="22" s="1"/>
  <c r="I118" i="7"/>
  <c r="J118" i="7" s="1"/>
  <c r="H118" i="7"/>
  <c r="H113" i="23"/>
  <c r="I113" i="23"/>
  <c r="J113" i="23" s="1"/>
  <c r="F119" i="10"/>
  <c r="B119" i="10"/>
  <c r="H116" i="8"/>
  <c r="I116" i="8"/>
  <c r="J116" i="8" s="1"/>
  <c r="B111" i="28"/>
  <c r="F111" i="28"/>
  <c r="D109" i="38"/>
  <c r="E109" i="38"/>
  <c r="G108" i="38"/>
  <c r="I115" i="4"/>
  <c r="H115" i="4"/>
  <c r="B117" i="6"/>
  <c r="F117" i="6"/>
  <c r="I115" i="5"/>
  <c r="H115" i="5"/>
  <c r="H109" i="30"/>
  <c r="I109" i="30"/>
  <c r="I107" i="37"/>
  <c r="H107" i="37"/>
  <c r="F112" i="27"/>
  <c r="B112" i="27"/>
  <c r="F119" i="7"/>
  <c r="B119" i="7"/>
  <c r="H112" i="24"/>
  <c r="I112" i="24"/>
  <c r="J112" i="24" s="1"/>
  <c r="F108" i="40"/>
  <c r="B108" i="40"/>
  <c r="F118" i="9"/>
  <c r="B118" i="9"/>
  <c r="B108" i="37"/>
  <c r="F108" i="37"/>
  <c r="F115" i="22"/>
  <c r="B115" i="22"/>
  <c r="B116" i="3"/>
  <c r="F116" i="3"/>
  <c r="B118" i="11"/>
  <c r="F118" i="11"/>
  <c r="B114" i="23"/>
  <c r="F114" i="23"/>
  <c r="B117" i="8"/>
  <c r="F117" i="8"/>
  <c r="H110" i="28"/>
  <c r="I110" i="28"/>
  <c r="H114" i="25"/>
  <c r="I114" i="25"/>
  <c r="H107" i="40"/>
  <c r="I107" i="40"/>
  <c r="H116" i="6"/>
  <c r="I116" i="6"/>
  <c r="B116" i="5"/>
  <c r="F116" i="5"/>
  <c r="H111" i="27"/>
  <c r="I111" i="27"/>
  <c r="I115" i="3"/>
  <c r="J115" i="3" s="1"/>
  <c r="H115" i="3"/>
  <c r="I117" i="11"/>
  <c r="J117" i="11" s="1"/>
  <c r="H117" i="11"/>
  <c r="H118" i="10"/>
  <c r="I118" i="10"/>
  <c r="B113" i="24"/>
  <c r="F113" i="24"/>
  <c r="F115" i="25"/>
  <c r="B115" i="25"/>
  <c r="D113" i="29"/>
  <c r="G112" i="29"/>
  <c r="E113" i="29"/>
  <c r="J111" i="29"/>
  <c r="B108" i="41"/>
  <c r="F108" i="41"/>
  <c r="D35" i="23"/>
  <c r="E35" i="23"/>
  <c r="E30" i="39"/>
  <c r="D30" i="39"/>
  <c r="D38" i="5"/>
  <c r="E38" i="5"/>
  <c r="E38" i="8"/>
  <c r="D38" i="8"/>
  <c r="D31" i="30"/>
  <c r="E31" i="30"/>
  <c r="I39" i="11"/>
  <c r="D32" i="28"/>
  <c r="E32" i="28"/>
  <c r="F33" i="29"/>
  <c r="G33" i="29" s="1"/>
  <c r="B33" i="29"/>
  <c r="D38" i="4"/>
  <c r="E38" i="4"/>
  <c r="H34" i="23"/>
  <c r="D41" i="7"/>
  <c r="E41" i="7"/>
  <c r="D28" i="45"/>
  <c r="E28" i="45"/>
  <c r="H107" i="45"/>
  <c r="I107" i="45"/>
  <c r="I28" i="41"/>
  <c r="D30" i="13"/>
  <c r="E30" i="13" s="1"/>
  <c r="D109" i="39"/>
  <c r="E109" i="39"/>
  <c r="G108" i="39"/>
  <c r="G40" i="7"/>
  <c r="I40" i="7" s="1"/>
  <c r="H30" i="30"/>
  <c r="I30" i="30" s="1"/>
  <c r="D40" i="11"/>
  <c r="E40" i="11"/>
  <c r="G31" i="28"/>
  <c r="I31" i="28" s="1"/>
  <c r="I28" i="40"/>
  <c r="G37" i="4"/>
  <c r="I37" i="4" s="1"/>
  <c r="D36" i="22"/>
  <c r="E36" i="22"/>
  <c r="H28" i="38"/>
  <c r="I28" i="38" s="1"/>
  <c r="F108" i="45"/>
  <c r="B108" i="45"/>
  <c r="H33" i="24"/>
  <c r="I33" i="24" s="1"/>
  <c r="D36" i="25"/>
  <c r="E36" i="25"/>
  <c r="H107" i="43"/>
  <c r="I107" i="43"/>
  <c r="G29" i="13"/>
  <c r="D28" i="42"/>
  <c r="E28" i="42"/>
  <c r="D29" i="40"/>
  <c r="E29" i="40"/>
  <c r="D29" i="43"/>
  <c r="E29" i="43"/>
  <c r="J107" i="39"/>
  <c r="G35" i="22"/>
  <c r="I35" i="22" s="1"/>
  <c r="B108" i="43"/>
  <c r="F108" i="43"/>
  <c r="E40" i="10"/>
  <c r="D40" i="10"/>
  <c r="B31" i="31"/>
  <c r="F31" i="31"/>
  <c r="G31" i="31" s="1"/>
  <c r="I111" i="31"/>
  <c r="H111" i="31"/>
  <c r="E38" i="3"/>
  <c r="D38" i="3"/>
  <c r="D29" i="38"/>
  <c r="E29" i="38"/>
  <c r="H29" i="39"/>
  <c r="E29" i="37"/>
  <c r="D29" i="37"/>
  <c r="D34" i="24"/>
  <c r="E34" i="24"/>
  <c r="D29" i="41"/>
  <c r="E29" i="41"/>
  <c r="H29" i="13"/>
  <c r="I29" i="13" s="1"/>
  <c r="I27" i="42"/>
  <c r="B112" i="31"/>
  <c r="F112" i="31"/>
  <c r="I107" i="41"/>
  <c r="H107" i="41"/>
  <c r="G34" i="23"/>
  <c r="G29" i="39"/>
  <c r="I28" i="37"/>
  <c r="E109" i="42" l="1"/>
  <c r="F109" i="42"/>
  <c r="B109" i="42"/>
  <c r="G39" i="9"/>
  <c r="I39" i="9" s="1"/>
  <c r="H108" i="42"/>
  <c r="I108" i="42"/>
  <c r="J108" i="42" s="1"/>
  <c r="G108" i="44"/>
  <c r="D109" i="44"/>
  <c r="J107" i="44"/>
  <c r="H33" i="29"/>
  <c r="I33" i="29" s="1"/>
  <c r="I108" i="13"/>
  <c r="H108" i="13"/>
  <c r="E109" i="13"/>
  <c r="F109" i="13"/>
  <c r="B109" i="13"/>
  <c r="I29" i="39"/>
  <c r="F38" i="6"/>
  <c r="G38" i="6" s="1"/>
  <c r="B38" i="6"/>
  <c r="H28" i="44"/>
  <c r="B28" i="44"/>
  <c r="F28" i="44"/>
  <c r="G28" i="44" s="1"/>
  <c r="J107" i="43"/>
  <c r="D33" i="27"/>
  <c r="E33" i="27"/>
  <c r="G32" i="27"/>
  <c r="I32" i="27" s="1"/>
  <c r="D40" i="9"/>
  <c r="E40" i="9"/>
  <c r="J107" i="41"/>
  <c r="J118" i="10"/>
  <c r="G116" i="5"/>
  <c r="D117" i="5"/>
  <c r="E117" i="5"/>
  <c r="J107" i="40"/>
  <c r="J110" i="28"/>
  <c r="E115" i="23"/>
  <c r="D115" i="23"/>
  <c r="G114" i="23"/>
  <c r="D117" i="3"/>
  <c r="E117" i="3"/>
  <c r="G116" i="3"/>
  <c r="E109" i="37"/>
  <c r="G108" i="37"/>
  <c r="D109" i="37"/>
  <c r="E113" i="27"/>
  <c r="G112" i="27"/>
  <c r="D113" i="27"/>
  <c r="G115" i="25"/>
  <c r="D116" i="25"/>
  <c r="E116" i="25"/>
  <c r="D109" i="40"/>
  <c r="E109" i="40"/>
  <c r="G108" i="40"/>
  <c r="F109" i="38"/>
  <c r="B109" i="38"/>
  <c r="D114" i="24"/>
  <c r="E114" i="24"/>
  <c r="G113" i="24"/>
  <c r="J111" i="27"/>
  <c r="J116" i="6"/>
  <c r="J114" i="25"/>
  <c r="E118" i="8"/>
  <c r="D118" i="8"/>
  <c r="G117" i="8"/>
  <c r="G118" i="11"/>
  <c r="D119" i="11"/>
  <c r="E119" i="11"/>
  <c r="G119" i="7"/>
  <c r="D120" i="7"/>
  <c r="E120" i="7"/>
  <c r="J107" i="37"/>
  <c r="J115" i="5"/>
  <c r="J115" i="4"/>
  <c r="E112" i="28"/>
  <c r="G111" i="28"/>
  <c r="D112" i="28"/>
  <c r="G116" i="4"/>
  <c r="E117" i="4"/>
  <c r="D117" i="4"/>
  <c r="D116" i="22"/>
  <c r="G115" i="22"/>
  <c r="E116" i="22"/>
  <c r="E119" i="9"/>
  <c r="D119" i="9"/>
  <c r="G118" i="9"/>
  <c r="J109" i="30"/>
  <c r="E118" i="6"/>
  <c r="D118" i="6"/>
  <c r="G117" i="6"/>
  <c r="I108" i="38"/>
  <c r="H108" i="38"/>
  <c r="D120" i="10"/>
  <c r="G119" i="10"/>
  <c r="E120" i="10"/>
  <c r="D111" i="30"/>
  <c r="E111" i="30"/>
  <c r="G110" i="30"/>
  <c r="I112" i="29"/>
  <c r="H112" i="29"/>
  <c r="J107" i="45"/>
  <c r="F113" i="29"/>
  <c r="B113" i="29"/>
  <c r="F38" i="5"/>
  <c r="B38" i="5"/>
  <c r="B35" i="23"/>
  <c r="F35" i="23"/>
  <c r="G35" i="23" s="1"/>
  <c r="B30" i="13"/>
  <c r="F30" i="13"/>
  <c r="G30" i="13" s="1"/>
  <c r="B31" i="30"/>
  <c r="F31" i="30"/>
  <c r="H31" i="30" s="1"/>
  <c r="G31" i="30"/>
  <c r="G108" i="41"/>
  <c r="D109" i="41"/>
  <c r="E109" i="41"/>
  <c r="D32" i="31"/>
  <c r="E32" i="31"/>
  <c r="B29" i="43"/>
  <c r="F29" i="43"/>
  <c r="H29" i="43" s="1"/>
  <c r="B41" i="7"/>
  <c r="F41" i="7"/>
  <c r="G41" i="7" s="1"/>
  <c r="F38" i="8"/>
  <c r="H38" i="8" s="1"/>
  <c r="B38" i="8"/>
  <c r="B30" i="39"/>
  <c r="F30" i="39"/>
  <c r="G30" i="39" s="1"/>
  <c r="F38" i="4"/>
  <c r="H38" i="4" s="1"/>
  <c r="B38" i="4"/>
  <c r="B28" i="42"/>
  <c r="F28" i="42"/>
  <c r="H28" i="42" s="1"/>
  <c r="B109" i="39"/>
  <c r="F109" i="39"/>
  <c r="B36" i="25"/>
  <c r="F36" i="25"/>
  <c r="H36" i="25" s="1"/>
  <c r="F36" i="22"/>
  <c r="B36" i="22"/>
  <c r="G112" i="31"/>
  <c r="E113" i="31"/>
  <c r="D113" i="31"/>
  <c r="F29" i="38"/>
  <c r="H29" i="38" s="1"/>
  <c r="B29" i="38"/>
  <c r="H31" i="31"/>
  <c r="I31" i="31" s="1"/>
  <c r="F29" i="40"/>
  <c r="H29" i="40" s="1"/>
  <c r="B29" i="40"/>
  <c r="F28" i="45"/>
  <c r="G28" i="45" s="1"/>
  <c r="B28" i="45"/>
  <c r="J111" i="31"/>
  <c r="F29" i="41"/>
  <c r="H29" i="41" s="1"/>
  <c r="B29" i="41"/>
  <c r="G108" i="43"/>
  <c r="D109" i="43"/>
  <c r="E109" i="43"/>
  <c r="F34" i="24"/>
  <c r="G34" i="24" s="1"/>
  <c r="B34" i="24"/>
  <c r="B38" i="3"/>
  <c r="F38" i="3"/>
  <c r="H38" i="3" s="1"/>
  <c r="G38" i="3"/>
  <c r="B40" i="10"/>
  <c r="F40" i="10"/>
  <c r="H40" i="10" s="1"/>
  <c r="I34" i="23"/>
  <c r="D34" i="29"/>
  <c r="E34" i="29"/>
  <c r="F29" i="37"/>
  <c r="G29" i="37" s="1"/>
  <c r="B29" i="37"/>
  <c r="G108" i="45"/>
  <c r="D109" i="45"/>
  <c r="E109" i="45" s="1"/>
  <c r="B40" i="11"/>
  <c r="F40" i="11"/>
  <c r="G40" i="11" s="1"/>
  <c r="I108" i="39"/>
  <c r="H108" i="39"/>
  <c r="B32" i="28"/>
  <c r="F32" i="28"/>
  <c r="H32" i="28" s="1"/>
  <c r="D110" i="42" l="1"/>
  <c r="G109" i="42"/>
  <c r="G32" i="28"/>
  <c r="G29" i="38"/>
  <c r="I29" i="38" s="1"/>
  <c r="G29" i="43"/>
  <c r="G109" i="13"/>
  <c r="D110" i="13"/>
  <c r="B110" i="13" s="1"/>
  <c r="E110" i="13"/>
  <c r="F110" i="13" s="1"/>
  <c r="G29" i="41"/>
  <c r="H35" i="23"/>
  <c r="E109" i="44"/>
  <c r="F109" i="44" s="1"/>
  <c r="B109" i="44"/>
  <c r="H34" i="24"/>
  <c r="I34" i="24" s="1"/>
  <c r="J108" i="13"/>
  <c r="I108" i="44"/>
  <c r="H108" i="44"/>
  <c r="I29" i="43"/>
  <c r="H30" i="13"/>
  <c r="I30" i="13" s="1"/>
  <c r="I28" i="44"/>
  <c r="H38" i="6"/>
  <c r="I38" i="6" s="1"/>
  <c r="D39" i="6"/>
  <c r="E39" i="6"/>
  <c r="B40" i="9"/>
  <c r="F40" i="9"/>
  <c r="G40" i="9" s="1"/>
  <c r="I38" i="3"/>
  <c r="G29" i="40"/>
  <c r="E29" i="44"/>
  <c r="D29" i="44"/>
  <c r="B33" i="27"/>
  <c r="F33" i="27"/>
  <c r="I32" i="28"/>
  <c r="H28" i="45"/>
  <c r="I28" i="45" s="1"/>
  <c r="B120" i="10"/>
  <c r="F120" i="10"/>
  <c r="F118" i="6"/>
  <c r="B118" i="6"/>
  <c r="F119" i="9"/>
  <c r="B119" i="9"/>
  <c r="F116" i="22"/>
  <c r="B116" i="22"/>
  <c r="F112" i="28"/>
  <c r="B112" i="28"/>
  <c r="H119" i="7"/>
  <c r="I119" i="7"/>
  <c r="J119" i="7" s="1"/>
  <c r="I117" i="8"/>
  <c r="H117" i="8"/>
  <c r="B114" i="24"/>
  <c r="F114" i="24"/>
  <c r="H115" i="25"/>
  <c r="I115" i="25"/>
  <c r="J115" i="25" s="1"/>
  <c r="F109" i="37"/>
  <c r="B109" i="37"/>
  <c r="F117" i="5"/>
  <c r="B117" i="5"/>
  <c r="B111" i="30"/>
  <c r="F111" i="30"/>
  <c r="F117" i="4"/>
  <c r="B117" i="4"/>
  <c r="I111" i="28"/>
  <c r="H111" i="28"/>
  <c r="B118" i="8"/>
  <c r="F118" i="8"/>
  <c r="B109" i="40"/>
  <c r="F109" i="40"/>
  <c r="F113" i="27"/>
  <c r="B113" i="27"/>
  <c r="I108" i="37"/>
  <c r="H108" i="37"/>
  <c r="B117" i="3"/>
  <c r="F117" i="3"/>
  <c r="I116" i="5"/>
  <c r="H116" i="5"/>
  <c r="J108" i="38"/>
  <c r="B119" i="11"/>
  <c r="F119" i="11"/>
  <c r="H113" i="24"/>
  <c r="I113" i="24"/>
  <c r="G109" i="38"/>
  <c r="D110" i="38"/>
  <c r="E110" i="38"/>
  <c r="I112" i="27"/>
  <c r="H112" i="27"/>
  <c r="I114" i="23"/>
  <c r="J114" i="23" s="1"/>
  <c r="H114" i="23"/>
  <c r="H110" i="30"/>
  <c r="I110" i="30"/>
  <c r="J110" i="30" s="1"/>
  <c r="H119" i="10"/>
  <c r="I119" i="10"/>
  <c r="I117" i="6"/>
  <c r="H117" i="6"/>
  <c r="I118" i="9"/>
  <c r="J118" i="9" s="1"/>
  <c r="H118" i="9"/>
  <c r="H115" i="22"/>
  <c r="I115" i="22"/>
  <c r="J115" i="22" s="1"/>
  <c r="H116" i="4"/>
  <c r="I116" i="4"/>
  <c r="B120" i="7"/>
  <c r="F120" i="7"/>
  <c r="H118" i="11"/>
  <c r="I118" i="11"/>
  <c r="H108" i="40"/>
  <c r="I108" i="40"/>
  <c r="B116" i="25"/>
  <c r="F116" i="25"/>
  <c r="I116" i="3"/>
  <c r="H116" i="3"/>
  <c r="F115" i="23"/>
  <c r="B115" i="23"/>
  <c r="G113" i="29"/>
  <c r="D114" i="29"/>
  <c r="E114" i="29"/>
  <c r="J112" i="29"/>
  <c r="H108" i="43"/>
  <c r="I108" i="43"/>
  <c r="F109" i="41"/>
  <c r="B109" i="41"/>
  <c r="D39" i="5"/>
  <c r="E39" i="5"/>
  <c r="J108" i="39"/>
  <c r="F109" i="45"/>
  <c r="B109" i="45"/>
  <c r="I29" i="41"/>
  <c r="E30" i="38"/>
  <c r="D30" i="38"/>
  <c r="D37" i="25"/>
  <c r="E37" i="25"/>
  <c r="G28" i="42"/>
  <c r="I28" i="42" s="1"/>
  <c r="H30" i="39"/>
  <c r="I30" i="39" s="1"/>
  <c r="I108" i="41"/>
  <c r="H108" i="41"/>
  <c r="D31" i="13"/>
  <c r="E31" i="13" s="1"/>
  <c r="E36" i="23"/>
  <c r="D36" i="23"/>
  <c r="E35" i="24"/>
  <c r="D35" i="24"/>
  <c r="H112" i="31"/>
  <c r="I112" i="31"/>
  <c r="B34" i="29"/>
  <c r="F34" i="29"/>
  <c r="H34" i="29" s="1"/>
  <c r="I29" i="40"/>
  <c r="F32" i="31"/>
  <c r="B32" i="31"/>
  <c r="I31" i="30"/>
  <c r="D41" i="10"/>
  <c r="E41" i="10"/>
  <c r="G40" i="10"/>
  <c r="I40" i="10" s="1"/>
  <c r="D37" i="22"/>
  <c r="E37" i="22"/>
  <c r="I108" i="45"/>
  <c r="H108" i="45"/>
  <c r="I35" i="23"/>
  <c r="D41" i="11"/>
  <c r="E41" i="11"/>
  <c r="H29" i="37"/>
  <c r="I29" i="37" s="1"/>
  <c r="D30" i="41"/>
  <c r="E30" i="41"/>
  <c r="D30" i="40"/>
  <c r="E30" i="40"/>
  <c r="G36" i="25"/>
  <c r="I36" i="25" s="1"/>
  <c r="G38" i="4"/>
  <c r="I38" i="4" s="1"/>
  <c r="G38" i="8"/>
  <c r="I38" i="8" s="1"/>
  <c r="H41" i="7"/>
  <c r="I41" i="7" s="1"/>
  <c r="D32" i="30"/>
  <c r="E32" i="30"/>
  <c r="F113" i="31"/>
  <c r="B113" i="31"/>
  <c r="E33" i="28"/>
  <c r="D33" i="28"/>
  <c r="H40" i="11"/>
  <c r="I40" i="11" s="1"/>
  <c r="D39" i="3"/>
  <c r="E39" i="3"/>
  <c r="D29" i="45"/>
  <c r="E29" i="45"/>
  <c r="H36" i="22"/>
  <c r="E110" i="39"/>
  <c r="D110" i="39"/>
  <c r="G109" i="39"/>
  <c r="D30" i="43"/>
  <c r="E30" i="43"/>
  <c r="H38" i="5"/>
  <c r="D30" i="37"/>
  <c r="E30" i="37"/>
  <c r="G36" i="22"/>
  <c r="E39" i="4"/>
  <c r="D39" i="4"/>
  <c r="E39" i="8"/>
  <c r="D39" i="8"/>
  <c r="D42" i="7"/>
  <c r="E42" i="7"/>
  <c r="G38" i="5"/>
  <c r="F109" i="43"/>
  <c r="B109" i="43"/>
  <c r="D29" i="42"/>
  <c r="E29" i="42"/>
  <c r="E31" i="39"/>
  <c r="D31" i="39"/>
  <c r="I109" i="42" l="1"/>
  <c r="H109" i="42"/>
  <c r="B110" i="42"/>
  <c r="E110" i="42"/>
  <c r="F110" i="42" s="1"/>
  <c r="D110" i="44"/>
  <c r="G109" i="44"/>
  <c r="I109" i="13"/>
  <c r="H109" i="13"/>
  <c r="G110" i="13"/>
  <c r="D111" i="13"/>
  <c r="B111" i="13" s="1"/>
  <c r="E111" i="13"/>
  <c r="F111" i="13" s="1"/>
  <c r="G111" i="13" s="1"/>
  <c r="J108" i="44"/>
  <c r="G33" i="27"/>
  <c r="D34" i="27"/>
  <c r="E34" i="27"/>
  <c r="G34" i="29"/>
  <c r="I34" i="29" s="1"/>
  <c r="F29" i="44"/>
  <c r="H29" i="44"/>
  <c r="B29" i="44"/>
  <c r="G29" i="44"/>
  <c r="D41" i="9"/>
  <c r="E41" i="9"/>
  <c r="H33" i="27"/>
  <c r="I33" i="27" s="1"/>
  <c r="H40" i="9"/>
  <c r="I40" i="9" s="1"/>
  <c r="F39" i="6"/>
  <c r="B39" i="6"/>
  <c r="G39" i="6"/>
  <c r="H39" i="6"/>
  <c r="I39" i="6" s="1"/>
  <c r="D116" i="23"/>
  <c r="E116" i="23"/>
  <c r="G115" i="23"/>
  <c r="E110" i="40"/>
  <c r="G109" i="40"/>
  <c r="D110" i="40"/>
  <c r="G111" i="30"/>
  <c r="E112" i="30"/>
  <c r="D112" i="30"/>
  <c r="D115" i="24"/>
  <c r="E115" i="24"/>
  <c r="G114" i="24"/>
  <c r="J108" i="40"/>
  <c r="G120" i="7"/>
  <c r="E121" i="7"/>
  <c r="D121" i="7"/>
  <c r="F110" i="38"/>
  <c r="B110" i="38"/>
  <c r="D120" i="11"/>
  <c r="E120" i="11"/>
  <c r="G119" i="11"/>
  <c r="J116" i="5"/>
  <c r="J108" i="37"/>
  <c r="J111" i="28"/>
  <c r="D110" i="37"/>
  <c r="G109" i="37"/>
  <c r="E110" i="37"/>
  <c r="E117" i="22"/>
  <c r="D117" i="22"/>
  <c r="G116" i="22"/>
  <c r="D119" i="6"/>
  <c r="G118" i="6"/>
  <c r="E119" i="6"/>
  <c r="J116" i="3"/>
  <c r="J117" i="6"/>
  <c r="H109" i="38"/>
  <c r="I109" i="38"/>
  <c r="G117" i="3"/>
  <c r="E118" i="3"/>
  <c r="D118" i="3"/>
  <c r="E119" i="8"/>
  <c r="D119" i="8"/>
  <c r="G118" i="8"/>
  <c r="G120" i="10"/>
  <c r="D121" i="10"/>
  <c r="E121" i="10"/>
  <c r="J112" i="31"/>
  <c r="G116" i="25"/>
  <c r="E117" i="25"/>
  <c r="D117" i="25"/>
  <c r="J118" i="11"/>
  <c r="J116" i="4"/>
  <c r="J119" i="10"/>
  <c r="J112" i="27"/>
  <c r="J113" i="24"/>
  <c r="D114" i="27"/>
  <c r="E114" i="27"/>
  <c r="G113" i="27"/>
  <c r="G117" i="4"/>
  <c r="D118" i="4"/>
  <c r="E118" i="4"/>
  <c r="D118" i="5"/>
  <c r="G117" i="5"/>
  <c r="E118" i="5"/>
  <c r="J117" i="8"/>
  <c r="D113" i="28"/>
  <c r="E113" i="28"/>
  <c r="G112" i="28"/>
  <c r="G119" i="9"/>
  <c r="D120" i="9"/>
  <c r="E120" i="9"/>
  <c r="F114" i="29"/>
  <c r="B114" i="29"/>
  <c r="J108" i="45"/>
  <c r="H113" i="29"/>
  <c r="I113" i="29"/>
  <c r="D112" i="13"/>
  <c r="D110" i="43"/>
  <c r="G109" i="43"/>
  <c r="E110" i="43"/>
  <c r="F36" i="23"/>
  <c r="G36" i="23" s="1"/>
  <c r="B36" i="23"/>
  <c r="B31" i="39"/>
  <c r="F31" i="39"/>
  <c r="H31" i="39" s="1"/>
  <c r="B30" i="38"/>
  <c r="F30" i="38"/>
  <c r="B30" i="37"/>
  <c r="F30" i="37"/>
  <c r="H30" i="37" s="1"/>
  <c r="B39" i="4"/>
  <c r="F39" i="4"/>
  <c r="B35" i="24"/>
  <c r="F35" i="24"/>
  <c r="G35" i="24" s="1"/>
  <c r="J108" i="41"/>
  <c r="G109" i="45"/>
  <c r="D110" i="45"/>
  <c r="E110" i="45" s="1"/>
  <c r="F29" i="42"/>
  <c r="G29" i="42" s="1"/>
  <c r="B29" i="42"/>
  <c r="B110" i="39"/>
  <c r="F110" i="39"/>
  <c r="D35" i="29"/>
  <c r="E35" i="29"/>
  <c r="F33" i="28"/>
  <c r="G33" i="28" s="1"/>
  <c r="B33" i="28"/>
  <c r="F39" i="5"/>
  <c r="B39" i="5"/>
  <c r="G113" i="31"/>
  <c r="D114" i="31"/>
  <c r="E114" i="31"/>
  <c r="G109" i="41"/>
  <c r="D110" i="41"/>
  <c r="E110" i="41"/>
  <c r="F37" i="22"/>
  <c r="G37" i="22" s="1"/>
  <c r="B37" i="22"/>
  <c r="I36" i="22"/>
  <c r="F31" i="13"/>
  <c r="H31" i="13" s="1"/>
  <c r="B31" i="13"/>
  <c r="D33" i="31"/>
  <c r="E33" i="31"/>
  <c r="F30" i="41"/>
  <c r="H30" i="41" s="1"/>
  <c r="B30" i="41"/>
  <c r="B41" i="11"/>
  <c r="F41" i="11"/>
  <c r="F39" i="3"/>
  <c r="B39" i="3"/>
  <c r="F32" i="30"/>
  <c r="G32" i="30" s="1"/>
  <c r="B32" i="30"/>
  <c r="G32" i="31"/>
  <c r="B39" i="8"/>
  <c r="F39" i="8"/>
  <c r="H39" i="8" s="1"/>
  <c r="B30" i="43"/>
  <c r="F30" i="43"/>
  <c r="G30" i="43" s="1"/>
  <c r="H109" i="39"/>
  <c r="I109" i="39"/>
  <c r="B42" i="7"/>
  <c r="F42" i="7"/>
  <c r="H42" i="7" s="1"/>
  <c r="I38" i="5"/>
  <c r="F29" i="45"/>
  <c r="H29" i="45" s="1"/>
  <c r="B29" i="45"/>
  <c r="B30" i="40"/>
  <c r="F30" i="40"/>
  <c r="H30" i="40" s="1"/>
  <c r="F41" i="10"/>
  <c r="B41" i="10"/>
  <c r="H32" i="31"/>
  <c r="F37" i="25"/>
  <c r="H37" i="25" s="1"/>
  <c r="B37" i="25"/>
  <c r="J108" i="43"/>
  <c r="G110" i="42" l="1"/>
  <c r="D111" i="42"/>
  <c r="G42" i="7"/>
  <c r="I42" i="7" s="1"/>
  <c r="G39" i="8"/>
  <c r="I39" i="8" s="1"/>
  <c r="G30" i="41"/>
  <c r="H33" i="28"/>
  <c r="G29" i="45"/>
  <c r="I29" i="45" s="1"/>
  <c r="H35" i="24"/>
  <c r="I35" i="24" s="1"/>
  <c r="J109" i="42"/>
  <c r="J109" i="13"/>
  <c r="H109" i="44"/>
  <c r="I109" i="44"/>
  <c r="I32" i="31"/>
  <c r="I110" i="13"/>
  <c r="H110" i="13"/>
  <c r="E110" i="44"/>
  <c r="F110" i="44" s="1"/>
  <c r="B110" i="44"/>
  <c r="I29" i="44"/>
  <c r="F34" i="27"/>
  <c r="G34" i="27" s="1"/>
  <c r="B34" i="27"/>
  <c r="I30" i="41"/>
  <c r="H37" i="22"/>
  <c r="I37" i="22" s="1"/>
  <c r="G31" i="13"/>
  <c r="I31" i="13" s="1"/>
  <c r="E40" i="6"/>
  <c r="D40" i="6"/>
  <c r="F41" i="9"/>
  <c r="B41" i="9"/>
  <c r="E30" i="44"/>
  <c r="D30" i="44"/>
  <c r="H117" i="5"/>
  <c r="I117" i="5"/>
  <c r="J117" i="5" s="1"/>
  <c r="H117" i="4"/>
  <c r="I117" i="4"/>
  <c r="J117" i="4" s="1"/>
  <c r="I118" i="8"/>
  <c r="H118" i="8"/>
  <c r="F119" i="6"/>
  <c r="B119" i="6"/>
  <c r="B120" i="11"/>
  <c r="F120" i="11"/>
  <c r="H114" i="24"/>
  <c r="I114" i="24"/>
  <c r="J114" i="24" s="1"/>
  <c r="B120" i="9"/>
  <c r="F120" i="9"/>
  <c r="B113" i="28"/>
  <c r="F113" i="28"/>
  <c r="F118" i="5"/>
  <c r="B118" i="5"/>
  <c r="H113" i="27"/>
  <c r="I113" i="27"/>
  <c r="J113" i="27" s="1"/>
  <c r="F117" i="25"/>
  <c r="B117" i="25"/>
  <c r="B119" i="8"/>
  <c r="F119" i="8"/>
  <c r="H117" i="3"/>
  <c r="I117" i="3"/>
  <c r="J117" i="3" s="1"/>
  <c r="H116" i="22"/>
  <c r="I116" i="22"/>
  <c r="J116" i="22" s="1"/>
  <c r="H109" i="37"/>
  <c r="I109" i="37"/>
  <c r="I120" i="7"/>
  <c r="H120" i="7"/>
  <c r="H111" i="30"/>
  <c r="I111" i="30"/>
  <c r="J111" i="30" s="1"/>
  <c r="H115" i="23"/>
  <c r="I115" i="23"/>
  <c r="J109" i="39"/>
  <c r="J113" i="29"/>
  <c r="H119" i="9"/>
  <c r="I119" i="9"/>
  <c r="J119" i="9" s="1"/>
  <c r="F121" i="10"/>
  <c r="B121" i="10"/>
  <c r="J109" i="38"/>
  <c r="F117" i="22"/>
  <c r="B117" i="22"/>
  <c r="F110" i="37"/>
  <c r="B110" i="37"/>
  <c r="I119" i="11"/>
  <c r="J119" i="11" s="1"/>
  <c r="H119" i="11"/>
  <c r="D111" i="38"/>
  <c r="E111" i="38"/>
  <c r="G110" i="38"/>
  <c r="B115" i="24"/>
  <c r="F115" i="24"/>
  <c r="B110" i="40"/>
  <c r="F110" i="40"/>
  <c r="H112" i="28"/>
  <c r="I112" i="28"/>
  <c r="J112" i="28" s="1"/>
  <c r="B118" i="4"/>
  <c r="F118" i="4"/>
  <c r="F114" i="27"/>
  <c r="B114" i="27"/>
  <c r="H116" i="25"/>
  <c r="I116" i="25"/>
  <c r="H120" i="10"/>
  <c r="I120" i="10"/>
  <c r="J120" i="10" s="1"/>
  <c r="B118" i="3"/>
  <c r="F118" i="3"/>
  <c r="I118" i="6"/>
  <c r="H118" i="6"/>
  <c r="B121" i="7"/>
  <c r="F121" i="7"/>
  <c r="B112" i="30"/>
  <c r="F112" i="30"/>
  <c r="H109" i="40"/>
  <c r="I109" i="40"/>
  <c r="B116" i="23"/>
  <c r="F116" i="23"/>
  <c r="G114" i="29"/>
  <c r="D115" i="29"/>
  <c r="E115" i="29"/>
  <c r="D40" i="3"/>
  <c r="E40" i="3"/>
  <c r="E42" i="11"/>
  <c r="D42" i="11"/>
  <c r="D31" i="38"/>
  <c r="E31" i="38"/>
  <c r="G39" i="3"/>
  <c r="D31" i="40"/>
  <c r="E31" i="40"/>
  <c r="D40" i="8"/>
  <c r="E40" i="8"/>
  <c r="G41" i="11"/>
  <c r="I113" i="31"/>
  <c r="H113" i="31"/>
  <c r="H29" i="42"/>
  <c r="I29" i="42" s="1"/>
  <c r="F110" i="45"/>
  <c r="B110" i="45"/>
  <c r="E36" i="24"/>
  <c r="D36" i="24"/>
  <c r="G30" i="37"/>
  <c r="I30" i="37" s="1"/>
  <c r="D32" i="39"/>
  <c r="E32" i="39"/>
  <c r="F33" i="31"/>
  <c r="G33" i="31" s="1"/>
  <c r="B33" i="31"/>
  <c r="I109" i="41"/>
  <c r="H109" i="41"/>
  <c r="E40" i="5"/>
  <c r="D40" i="5"/>
  <c r="E40" i="4"/>
  <c r="D40" i="4"/>
  <c r="E37" i="23"/>
  <c r="D37" i="23"/>
  <c r="D42" i="10"/>
  <c r="E42" i="10"/>
  <c r="B114" i="31"/>
  <c r="F114" i="31"/>
  <c r="G39" i="5"/>
  <c r="G37" i="25"/>
  <c r="I37" i="25" s="1"/>
  <c r="G30" i="40"/>
  <c r="D30" i="45"/>
  <c r="E30" i="45"/>
  <c r="E38" i="22"/>
  <c r="D38" i="22"/>
  <c r="H109" i="45"/>
  <c r="I109" i="45"/>
  <c r="G31" i="39"/>
  <c r="I31" i="39" s="1"/>
  <c r="H109" i="43"/>
  <c r="I109" i="43"/>
  <c r="I30" i="40"/>
  <c r="D34" i="28"/>
  <c r="E34" i="28"/>
  <c r="B112" i="13"/>
  <c r="D33" i="30"/>
  <c r="E33" i="30"/>
  <c r="D31" i="37"/>
  <c r="E31" i="37"/>
  <c r="H32" i="30"/>
  <c r="I32" i="30" s="1"/>
  <c r="F35" i="29"/>
  <c r="H35" i="29" s="1"/>
  <c r="B35" i="29"/>
  <c r="H41" i="10"/>
  <c r="G39" i="4"/>
  <c r="G30" i="38"/>
  <c r="H36" i="23"/>
  <c r="I36" i="23" s="1"/>
  <c r="I111" i="13"/>
  <c r="H111" i="13"/>
  <c r="D38" i="25"/>
  <c r="E38" i="25"/>
  <c r="I33" i="28"/>
  <c r="D30" i="42"/>
  <c r="E30" i="42"/>
  <c r="F110" i="43"/>
  <c r="B110" i="43"/>
  <c r="E31" i="43"/>
  <c r="D31" i="43"/>
  <c r="D31" i="41"/>
  <c r="E31" i="41"/>
  <c r="D32" i="13"/>
  <c r="E32" i="13" s="1"/>
  <c r="G41" i="10"/>
  <c r="D43" i="7"/>
  <c r="E43" i="7"/>
  <c r="H30" i="43"/>
  <c r="I30" i="43" s="1"/>
  <c r="H39" i="3"/>
  <c r="H41" i="11"/>
  <c r="F110" i="41"/>
  <c r="B110" i="41"/>
  <c r="H39" i="5"/>
  <c r="D111" i="39"/>
  <c r="E111" i="39"/>
  <c r="G110" i="39"/>
  <c r="H39" i="4"/>
  <c r="H30" i="38"/>
  <c r="I30" i="38" s="1"/>
  <c r="E112" i="13"/>
  <c r="F112" i="13" s="1"/>
  <c r="I39" i="5" l="1"/>
  <c r="I39" i="3"/>
  <c r="H33" i="31"/>
  <c r="E111" i="42"/>
  <c r="F111" i="42" s="1"/>
  <c r="B111" i="42"/>
  <c r="J109" i="37"/>
  <c r="J109" i="44"/>
  <c r="I110" i="42"/>
  <c r="H110" i="42"/>
  <c r="D111" i="44"/>
  <c r="G110" i="44"/>
  <c r="J111" i="13"/>
  <c r="G35" i="29"/>
  <c r="J110" i="13"/>
  <c r="I41" i="10"/>
  <c r="E42" i="9"/>
  <c r="D42" i="9"/>
  <c r="B40" i="6"/>
  <c r="F40" i="6"/>
  <c r="H40" i="6" s="1"/>
  <c r="B30" i="44"/>
  <c r="F30" i="44"/>
  <c r="G41" i="9"/>
  <c r="E35" i="27"/>
  <c r="D35" i="27"/>
  <c r="H41" i="9"/>
  <c r="H34" i="27"/>
  <c r="I34" i="27" s="1"/>
  <c r="J109" i="40"/>
  <c r="E122" i="7"/>
  <c r="G121" i="7"/>
  <c r="D122" i="7"/>
  <c r="E119" i="3"/>
  <c r="D119" i="3"/>
  <c r="G118" i="3"/>
  <c r="J116" i="25"/>
  <c r="D119" i="4"/>
  <c r="E119" i="4"/>
  <c r="G118" i="4"/>
  <c r="D111" i="40"/>
  <c r="E111" i="40"/>
  <c r="G110" i="40"/>
  <c r="H110" i="38"/>
  <c r="I110" i="38"/>
  <c r="J110" i="38" s="1"/>
  <c r="D118" i="22"/>
  <c r="E118" i="22"/>
  <c r="G117" i="22"/>
  <c r="J115" i="23"/>
  <c r="G119" i="8"/>
  <c r="D120" i="8"/>
  <c r="E120" i="8"/>
  <c r="D114" i="28"/>
  <c r="E114" i="28"/>
  <c r="G113" i="28"/>
  <c r="J120" i="7"/>
  <c r="D120" i="6"/>
  <c r="G119" i="6"/>
  <c r="E120" i="6"/>
  <c r="G116" i="23"/>
  <c r="D117" i="23"/>
  <c r="E117" i="23"/>
  <c r="G112" i="30"/>
  <c r="D113" i="30"/>
  <c r="E113" i="30"/>
  <c r="G115" i="24"/>
  <c r="D116" i="24"/>
  <c r="E116" i="24"/>
  <c r="F111" i="38"/>
  <c r="B111" i="38"/>
  <c r="G110" i="37"/>
  <c r="E111" i="37"/>
  <c r="D111" i="37"/>
  <c r="D121" i="9"/>
  <c r="E121" i="9"/>
  <c r="G120" i="9"/>
  <c r="D121" i="11"/>
  <c r="G120" i="11"/>
  <c r="E121" i="11"/>
  <c r="J109" i="45"/>
  <c r="J118" i="6"/>
  <c r="E115" i="27"/>
  <c r="G114" i="27"/>
  <c r="D115" i="27"/>
  <c r="G121" i="10"/>
  <c r="E122" i="10"/>
  <c r="D122" i="10"/>
  <c r="D118" i="25"/>
  <c r="G117" i="25"/>
  <c r="E118" i="25"/>
  <c r="E119" i="5"/>
  <c r="D119" i="5"/>
  <c r="G118" i="5"/>
  <c r="J118" i="8"/>
  <c r="J113" i="31"/>
  <c r="F115" i="29"/>
  <c r="B115" i="29"/>
  <c r="H114" i="29"/>
  <c r="I114" i="29"/>
  <c r="J114" i="29" s="1"/>
  <c r="G112" i="13"/>
  <c r="D113" i="13"/>
  <c r="E113" i="13" s="1"/>
  <c r="B31" i="41"/>
  <c r="F31" i="41"/>
  <c r="G31" i="41" s="1"/>
  <c r="B34" i="28"/>
  <c r="F34" i="28"/>
  <c r="H34" i="28" s="1"/>
  <c r="F40" i="4"/>
  <c r="H40" i="4" s="1"/>
  <c r="B40" i="4"/>
  <c r="F31" i="37"/>
  <c r="B31" i="37"/>
  <c r="F38" i="22"/>
  <c r="G38" i="22" s="1"/>
  <c r="B38" i="22"/>
  <c r="B30" i="45"/>
  <c r="F30" i="45"/>
  <c r="G30" i="45" s="1"/>
  <c r="F36" i="24"/>
  <c r="H36" i="24"/>
  <c r="B36" i="24"/>
  <c r="F40" i="8"/>
  <c r="H40" i="8" s="1"/>
  <c r="B40" i="8"/>
  <c r="B42" i="11"/>
  <c r="F42" i="11"/>
  <c r="H42" i="11" s="1"/>
  <c r="B33" i="30"/>
  <c r="F33" i="30"/>
  <c r="H33" i="30" s="1"/>
  <c r="B38" i="25"/>
  <c r="F38" i="25"/>
  <c r="G38" i="25" s="1"/>
  <c r="B40" i="5"/>
  <c r="F40" i="5"/>
  <c r="G40" i="5" s="1"/>
  <c r="H110" i="39"/>
  <c r="I110" i="39"/>
  <c r="F111" i="39"/>
  <c r="B111" i="39"/>
  <c r="D111" i="43"/>
  <c r="G110" i="43"/>
  <c r="E111" i="43"/>
  <c r="I35" i="29"/>
  <c r="I33" i="31"/>
  <c r="G114" i="31"/>
  <c r="D115" i="31"/>
  <c r="E115" i="31"/>
  <c r="I39" i="4"/>
  <c r="F43" i="7"/>
  <c r="H43" i="7"/>
  <c r="B43" i="7"/>
  <c r="G110" i="45"/>
  <c r="D111" i="45"/>
  <c r="E111" i="45" s="1"/>
  <c r="F40" i="3"/>
  <c r="H40" i="3" s="1"/>
  <c r="B40" i="3"/>
  <c r="F31" i="43"/>
  <c r="H31" i="43" s="1"/>
  <c r="B31" i="43"/>
  <c r="I41" i="11"/>
  <c r="B32" i="13"/>
  <c r="F32" i="13"/>
  <c r="G32" i="13" s="1"/>
  <c r="F30" i="42"/>
  <c r="G30" i="42" s="1"/>
  <c r="B30" i="42"/>
  <c r="D36" i="29"/>
  <c r="E36" i="29"/>
  <c r="J109" i="43"/>
  <c r="F42" i="10"/>
  <c r="G42" i="10" s="1"/>
  <c r="B42" i="10"/>
  <c r="J109" i="41"/>
  <c r="D34" i="31"/>
  <c r="E34" i="31"/>
  <c r="B31" i="38"/>
  <c r="F31" i="38"/>
  <c r="G31" i="38" s="1"/>
  <c r="B32" i="39"/>
  <c r="F32" i="39"/>
  <c r="G32" i="39" s="1"/>
  <c r="D111" i="41"/>
  <c r="G110" i="41"/>
  <c r="E111" i="41"/>
  <c r="F37" i="23"/>
  <c r="G37" i="23" s="1"/>
  <c r="B37" i="23"/>
  <c r="F31" i="40"/>
  <c r="G31" i="40" s="1"/>
  <c r="B31" i="40"/>
  <c r="D112" i="42" l="1"/>
  <c r="G111" i="42"/>
  <c r="I40" i="4"/>
  <c r="H40" i="5"/>
  <c r="I40" i="5" s="1"/>
  <c r="G40" i="4"/>
  <c r="J110" i="42"/>
  <c r="H38" i="25"/>
  <c r="G33" i="30"/>
  <c r="I33" i="30" s="1"/>
  <c r="G42" i="11"/>
  <c r="I110" i="44"/>
  <c r="H110" i="44"/>
  <c r="G31" i="43"/>
  <c r="I31" i="43" s="1"/>
  <c r="B111" i="44"/>
  <c r="H31" i="38"/>
  <c r="H30" i="42"/>
  <c r="I30" i="42" s="1"/>
  <c r="E111" i="44"/>
  <c r="F111" i="44" s="1"/>
  <c r="G40" i="3"/>
  <c r="I40" i="3" s="1"/>
  <c r="B42" i="9"/>
  <c r="F42" i="9"/>
  <c r="G42" i="9" s="1"/>
  <c r="F35" i="27"/>
  <c r="B35" i="27"/>
  <c r="G30" i="44"/>
  <c r="E31" i="44"/>
  <c r="D31" i="44"/>
  <c r="H30" i="45"/>
  <c r="G40" i="6"/>
  <c r="I40" i="6" s="1"/>
  <c r="E41" i="6"/>
  <c r="D41" i="6"/>
  <c r="I41" i="9"/>
  <c r="H30" i="44"/>
  <c r="B119" i="5"/>
  <c r="F119" i="5"/>
  <c r="B118" i="25"/>
  <c r="F118" i="25"/>
  <c r="F115" i="27"/>
  <c r="B115" i="27"/>
  <c r="F121" i="11"/>
  <c r="B121" i="11"/>
  <c r="F111" i="37"/>
  <c r="B111" i="37"/>
  <c r="E112" i="38"/>
  <c r="G111" i="38"/>
  <c r="D112" i="38"/>
  <c r="B117" i="23"/>
  <c r="F117" i="23"/>
  <c r="F120" i="6"/>
  <c r="B120" i="6"/>
  <c r="F114" i="28"/>
  <c r="B114" i="28"/>
  <c r="F111" i="40"/>
  <c r="B111" i="40"/>
  <c r="B122" i="7"/>
  <c r="F122" i="7"/>
  <c r="F122" i="10"/>
  <c r="B122" i="10"/>
  <c r="I114" i="27"/>
  <c r="J114" i="27" s="1"/>
  <c r="H114" i="27"/>
  <c r="I120" i="9"/>
  <c r="H120" i="9"/>
  <c r="B113" i="30"/>
  <c r="F113" i="30"/>
  <c r="I116" i="23"/>
  <c r="H116" i="23"/>
  <c r="H117" i="22"/>
  <c r="I117" i="22"/>
  <c r="H118" i="4"/>
  <c r="I118" i="4"/>
  <c r="J118" i="4" s="1"/>
  <c r="I118" i="3"/>
  <c r="J118" i="3" s="1"/>
  <c r="H118" i="3"/>
  <c r="H121" i="7"/>
  <c r="I121" i="7"/>
  <c r="J121" i="7" s="1"/>
  <c r="H110" i="37"/>
  <c r="I110" i="37"/>
  <c r="F116" i="24"/>
  <c r="B116" i="24"/>
  <c r="I112" i="30"/>
  <c r="J112" i="30" s="1"/>
  <c r="H112" i="30"/>
  <c r="H113" i="28"/>
  <c r="I113" i="28"/>
  <c r="J113" i="28" s="1"/>
  <c r="B120" i="8"/>
  <c r="F120" i="8"/>
  <c r="H110" i="40"/>
  <c r="I110" i="40"/>
  <c r="B119" i="3"/>
  <c r="F119" i="3"/>
  <c r="I118" i="5"/>
  <c r="H118" i="5"/>
  <c r="I117" i="25"/>
  <c r="J117" i="25" s="1"/>
  <c r="H117" i="25"/>
  <c r="I121" i="10"/>
  <c r="H121" i="10"/>
  <c r="I120" i="11"/>
  <c r="J120" i="11" s="1"/>
  <c r="H120" i="11"/>
  <c r="B121" i="9"/>
  <c r="F121" i="9"/>
  <c r="H115" i="24"/>
  <c r="I115" i="24"/>
  <c r="I119" i="6"/>
  <c r="H119" i="6"/>
  <c r="I119" i="8"/>
  <c r="J119" i="8" s="1"/>
  <c r="H119" i="8"/>
  <c r="F118" i="22"/>
  <c r="B118" i="22"/>
  <c r="B119" i="4"/>
  <c r="F119" i="4"/>
  <c r="E116" i="29"/>
  <c r="G115" i="29"/>
  <c r="D116" i="29"/>
  <c r="I110" i="45"/>
  <c r="H110" i="45"/>
  <c r="D112" i="39"/>
  <c r="E112" i="39"/>
  <c r="G111" i="39"/>
  <c r="D32" i="37"/>
  <c r="E32" i="37"/>
  <c r="I110" i="41"/>
  <c r="H110" i="41"/>
  <c r="H32" i="39"/>
  <c r="I32" i="39" s="1"/>
  <c r="F34" i="31"/>
  <c r="H34" i="31" s="1"/>
  <c r="B34" i="31"/>
  <c r="E41" i="3"/>
  <c r="D41" i="3"/>
  <c r="J110" i="39"/>
  <c r="D41" i="5"/>
  <c r="E41" i="5"/>
  <c r="D31" i="45"/>
  <c r="E31" i="45"/>
  <c r="D41" i="4"/>
  <c r="E41" i="4"/>
  <c r="I114" i="31"/>
  <c r="H114" i="31"/>
  <c r="H42" i="10"/>
  <c r="I42" i="10" s="1"/>
  <c r="D31" i="42"/>
  <c r="E31" i="42"/>
  <c r="E44" i="7"/>
  <c r="D44" i="7"/>
  <c r="F111" i="43"/>
  <c r="B111" i="43"/>
  <c r="D37" i="24"/>
  <c r="E37" i="24"/>
  <c r="I30" i="45"/>
  <c r="I31" i="38"/>
  <c r="I110" i="43"/>
  <c r="H110" i="43"/>
  <c r="D32" i="41"/>
  <c r="E32" i="41"/>
  <c r="H37" i="23"/>
  <c r="I37" i="23" s="1"/>
  <c r="D33" i="13"/>
  <c r="E33" i="13" s="1"/>
  <c r="D32" i="43"/>
  <c r="E32" i="43"/>
  <c r="G43" i="7"/>
  <c r="I43" i="7" s="1"/>
  <c r="I42" i="11"/>
  <c r="G40" i="8"/>
  <c r="I40" i="8" s="1"/>
  <c r="G36" i="24"/>
  <c r="I36" i="24" s="1"/>
  <c r="H38" i="22"/>
  <c r="I38" i="22" s="1"/>
  <c r="H31" i="41"/>
  <c r="I31" i="41" s="1"/>
  <c r="F111" i="41"/>
  <c r="B111" i="41"/>
  <c r="H31" i="40"/>
  <c r="I31" i="40" s="1"/>
  <c r="D32" i="38"/>
  <c r="E32" i="38"/>
  <c r="H32" i="13"/>
  <c r="I32" i="13" s="1"/>
  <c r="D43" i="11"/>
  <c r="E43" i="11"/>
  <c r="D32" i="40"/>
  <c r="E32" i="40"/>
  <c r="E38" i="23"/>
  <c r="D38" i="23"/>
  <c r="D43" i="10"/>
  <c r="E43" i="10"/>
  <c r="I38" i="25"/>
  <c r="D41" i="8"/>
  <c r="E41" i="8"/>
  <c r="G31" i="37"/>
  <c r="D35" i="28"/>
  <c r="E35" i="28"/>
  <c r="F113" i="13"/>
  <c r="B113" i="13"/>
  <c r="D33" i="39"/>
  <c r="E33" i="39"/>
  <c r="F36" i="29"/>
  <c r="H36" i="29" s="1"/>
  <c r="B36" i="29"/>
  <c r="F111" i="45"/>
  <c r="B111" i="45"/>
  <c r="B115" i="31"/>
  <c r="F115" i="31"/>
  <c r="D39" i="25"/>
  <c r="E39" i="25"/>
  <c r="D34" i="30"/>
  <c r="E34" i="30"/>
  <c r="D39" i="22"/>
  <c r="E39" i="22"/>
  <c r="H31" i="37"/>
  <c r="G34" i="28"/>
  <c r="I34" i="28" s="1"/>
  <c r="H112" i="13"/>
  <c r="I112" i="13"/>
  <c r="J110" i="44" l="1"/>
  <c r="I111" i="42"/>
  <c r="H111" i="42"/>
  <c r="E112" i="42"/>
  <c r="F112" i="42" s="1"/>
  <c r="B112" i="42"/>
  <c r="D112" i="44"/>
  <c r="G111" i="44"/>
  <c r="J110" i="43"/>
  <c r="I30" i="44"/>
  <c r="H42" i="9"/>
  <c r="G34" i="31"/>
  <c r="I34" i="31" s="1"/>
  <c r="F41" i="6"/>
  <c r="B41" i="6"/>
  <c r="B31" i="44"/>
  <c r="F31" i="44"/>
  <c r="H35" i="27"/>
  <c r="E36" i="27"/>
  <c r="D36" i="27"/>
  <c r="G35" i="27"/>
  <c r="I31" i="37"/>
  <c r="I42" i="9"/>
  <c r="J110" i="40"/>
  <c r="D43" i="9"/>
  <c r="E43" i="9"/>
  <c r="J110" i="45"/>
  <c r="G118" i="22"/>
  <c r="D119" i="22"/>
  <c r="E119" i="22"/>
  <c r="J119" i="6"/>
  <c r="J121" i="10"/>
  <c r="J118" i="5"/>
  <c r="D117" i="24"/>
  <c r="G116" i="24"/>
  <c r="E117" i="24"/>
  <c r="J116" i="23"/>
  <c r="J120" i="9"/>
  <c r="G122" i="10"/>
  <c r="E123" i="10"/>
  <c r="D123" i="10"/>
  <c r="G111" i="40"/>
  <c r="E112" i="40"/>
  <c r="D112" i="40"/>
  <c r="D121" i="6"/>
  <c r="G120" i="6"/>
  <c r="E121" i="6"/>
  <c r="H111" i="38"/>
  <c r="I111" i="38"/>
  <c r="G118" i="25"/>
  <c r="D119" i="25"/>
  <c r="E119" i="25"/>
  <c r="D120" i="4"/>
  <c r="G119" i="4"/>
  <c r="E120" i="4"/>
  <c r="J115" i="24"/>
  <c r="G119" i="3"/>
  <c r="E120" i="3"/>
  <c r="D120" i="3"/>
  <c r="G120" i="8"/>
  <c r="D121" i="8"/>
  <c r="E121" i="8"/>
  <c r="J110" i="37"/>
  <c r="J117" i="22"/>
  <c r="E114" i="30"/>
  <c r="D114" i="30"/>
  <c r="G113" i="30"/>
  <c r="E123" i="7"/>
  <c r="G122" i="7"/>
  <c r="D123" i="7"/>
  <c r="E118" i="23"/>
  <c r="G117" i="23"/>
  <c r="D118" i="23"/>
  <c r="D122" i="11"/>
  <c r="E122" i="11"/>
  <c r="G121" i="11"/>
  <c r="D115" i="28"/>
  <c r="E115" i="28"/>
  <c r="G114" i="28"/>
  <c r="D120" i="5"/>
  <c r="G119" i="5"/>
  <c r="E120" i="5"/>
  <c r="E122" i="9"/>
  <c r="G121" i="9"/>
  <c r="D122" i="9"/>
  <c r="F112" i="38"/>
  <c r="B112" i="38"/>
  <c r="E112" i="37"/>
  <c r="D112" i="37"/>
  <c r="G111" i="37"/>
  <c r="D116" i="27"/>
  <c r="G115" i="27"/>
  <c r="E116" i="27"/>
  <c r="I115" i="29"/>
  <c r="H115" i="29"/>
  <c r="J112" i="13"/>
  <c r="F116" i="29"/>
  <c r="B116" i="29"/>
  <c r="F44" i="7"/>
  <c r="G44" i="7" s="1"/>
  <c r="B44" i="7"/>
  <c r="D112" i="45"/>
  <c r="E112" i="45" s="1"/>
  <c r="G111" i="45"/>
  <c r="J114" i="31"/>
  <c r="B33" i="39"/>
  <c r="F33" i="39"/>
  <c r="F41" i="8"/>
  <c r="B41" i="8"/>
  <c r="B43" i="10"/>
  <c r="F43" i="10"/>
  <c r="G43" i="10" s="1"/>
  <c r="G111" i="43"/>
  <c r="D112" i="43"/>
  <c r="E112" i="43"/>
  <c r="F43" i="11"/>
  <c r="H43" i="11" s="1"/>
  <c r="G43" i="11"/>
  <c r="B43" i="11"/>
  <c r="F39" i="25"/>
  <c r="H39" i="25" s="1"/>
  <c r="B39" i="25"/>
  <c r="D114" i="13"/>
  <c r="E114" i="13" s="1"/>
  <c r="G113" i="13"/>
  <c r="F32" i="40"/>
  <c r="H32" i="40" s="1"/>
  <c r="G32" i="40"/>
  <c r="B32" i="40"/>
  <c r="B33" i="13"/>
  <c r="F33" i="13"/>
  <c r="H33" i="13" s="1"/>
  <c r="F41" i="4"/>
  <c r="G41" i="4" s="1"/>
  <c r="B41" i="4"/>
  <c r="B112" i="39"/>
  <c r="F112" i="39"/>
  <c r="F34" i="30"/>
  <c r="G34" i="30" s="1"/>
  <c r="B34" i="30"/>
  <c r="B32" i="43"/>
  <c r="F32" i="43"/>
  <c r="H32" i="43" s="1"/>
  <c r="G115" i="31"/>
  <c r="D116" i="31"/>
  <c r="E116" i="31"/>
  <c r="F32" i="38"/>
  <c r="G32" i="38" s="1"/>
  <c r="B32" i="38"/>
  <c r="F32" i="37"/>
  <c r="B32" i="37"/>
  <c r="B31" i="42"/>
  <c r="F31" i="42"/>
  <c r="H31" i="42" s="1"/>
  <c r="B38" i="23"/>
  <c r="F38" i="23"/>
  <c r="H38" i="23" s="1"/>
  <c r="H41" i="5"/>
  <c r="F41" i="5"/>
  <c r="G41" i="5"/>
  <c r="B41" i="5"/>
  <c r="F39" i="22"/>
  <c r="G39" i="22" s="1"/>
  <c r="B39" i="22"/>
  <c r="D37" i="29"/>
  <c r="E37" i="29"/>
  <c r="F35" i="28"/>
  <c r="G35" i="28" s="1"/>
  <c r="B35" i="28"/>
  <c r="B31" i="45"/>
  <c r="F31" i="45"/>
  <c r="G31" i="45" s="1"/>
  <c r="F41" i="3"/>
  <c r="H41" i="3" s="1"/>
  <c r="B41" i="3"/>
  <c r="J110" i="41"/>
  <c r="H111" i="39"/>
  <c r="I111" i="39"/>
  <c r="D35" i="31"/>
  <c r="E35" i="31"/>
  <c r="G36" i="29"/>
  <c r="I36" i="29" s="1"/>
  <c r="D112" i="41"/>
  <c r="G111" i="41"/>
  <c r="E112" i="41"/>
  <c r="F32" i="41"/>
  <c r="G32" i="41" s="1"/>
  <c r="B32" i="41"/>
  <c r="F37" i="24"/>
  <c r="G37" i="24" s="1"/>
  <c r="B37" i="24"/>
  <c r="D113" i="42" l="1"/>
  <c r="G112" i="42"/>
  <c r="J111" i="42"/>
  <c r="I41" i="5"/>
  <c r="H32" i="38"/>
  <c r="I35" i="27"/>
  <c r="I43" i="11"/>
  <c r="H111" i="44"/>
  <c r="I111" i="44"/>
  <c r="H35" i="28"/>
  <c r="E112" i="44"/>
  <c r="F112" i="44"/>
  <c r="B112" i="44"/>
  <c r="B43" i="9"/>
  <c r="F43" i="9"/>
  <c r="G43" i="9" s="1"/>
  <c r="H43" i="9"/>
  <c r="I35" i="28"/>
  <c r="H32" i="41"/>
  <c r="G41" i="3"/>
  <c r="I41" i="3" s="1"/>
  <c r="H39" i="22"/>
  <c r="I39" i="22" s="1"/>
  <c r="H34" i="30"/>
  <c r="E32" i="44"/>
  <c r="D32" i="44"/>
  <c r="I32" i="38"/>
  <c r="H41" i="4"/>
  <c r="G33" i="13"/>
  <c r="I33" i="13" s="1"/>
  <c r="F36" i="27"/>
  <c r="B36" i="27"/>
  <c r="G31" i="44"/>
  <c r="H41" i="6"/>
  <c r="D42" i="6"/>
  <c r="E42" i="6"/>
  <c r="H31" i="44"/>
  <c r="I31" i="44" s="1"/>
  <c r="G41" i="6"/>
  <c r="J111" i="38"/>
  <c r="J111" i="39"/>
  <c r="H111" i="37"/>
  <c r="I111" i="37"/>
  <c r="J111" i="37" s="1"/>
  <c r="D113" i="38"/>
  <c r="E113" i="38"/>
  <c r="G112" i="38"/>
  <c r="B122" i="11"/>
  <c r="F122" i="11"/>
  <c r="B123" i="7"/>
  <c r="F123" i="7"/>
  <c r="B114" i="30"/>
  <c r="F114" i="30"/>
  <c r="H119" i="4"/>
  <c r="I119" i="4"/>
  <c r="H118" i="25"/>
  <c r="I118" i="25"/>
  <c r="I120" i="6"/>
  <c r="J120" i="6" s="1"/>
  <c r="H120" i="6"/>
  <c r="H111" i="40"/>
  <c r="I111" i="40"/>
  <c r="F117" i="24"/>
  <c r="B117" i="24"/>
  <c r="B112" i="37"/>
  <c r="F112" i="37"/>
  <c r="B122" i="9"/>
  <c r="F122" i="9"/>
  <c r="H119" i="5"/>
  <c r="I119" i="5"/>
  <c r="B115" i="28"/>
  <c r="F115" i="28"/>
  <c r="F118" i="23"/>
  <c r="B118" i="23"/>
  <c r="H122" i="7"/>
  <c r="I122" i="7"/>
  <c r="F121" i="8"/>
  <c r="B121" i="8"/>
  <c r="I119" i="3"/>
  <c r="J119" i="3" s="1"/>
  <c r="H119" i="3"/>
  <c r="F120" i="4"/>
  <c r="B120" i="4"/>
  <c r="B121" i="6"/>
  <c r="F121" i="6"/>
  <c r="F123" i="10"/>
  <c r="B123" i="10"/>
  <c r="B119" i="22"/>
  <c r="F119" i="22"/>
  <c r="H115" i="27"/>
  <c r="I115" i="27"/>
  <c r="J115" i="27" s="1"/>
  <c r="H121" i="9"/>
  <c r="I121" i="9"/>
  <c r="B120" i="5"/>
  <c r="F120" i="5"/>
  <c r="H121" i="11"/>
  <c r="I121" i="11"/>
  <c r="H117" i="23"/>
  <c r="I117" i="23"/>
  <c r="J117" i="23" s="1"/>
  <c r="H120" i="8"/>
  <c r="I120" i="8"/>
  <c r="F112" i="40"/>
  <c r="B112" i="40"/>
  <c r="H118" i="22"/>
  <c r="I118" i="22"/>
  <c r="F116" i="27"/>
  <c r="B116" i="27"/>
  <c r="H114" i="28"/>
  <c r="I114" i="28"/>
  <c r="H113" i="30"/>
  <c r="I113" i="30"/>
  <c r="J113" i="30" s="1"/>
  <c r="F120" i="3"/>
  <c r="B120" i="3"/>
  <c r="B119" i="25"/>
  <c r="F119" i="25"/>
  <c r="I122" i="10"/>
  <c r="J122" i="10" s="1"/>
  <c r="H122" i="10"/>
  <c r="I116" i="24"/>
  <c r="H116" i="24"/>
  <c r="E117" i="29"/>
  <c r="G116" i="29"/>
  <c r="D117" i="29"/>
  <c r="J115" i="29"/>
  <c r="D32" i="45"/>
  <c r="E32" i="45"/>
  <c r="D42" i="8"/>
  <c r="E42" i="8"/>
  <c r="D45" i="7"/>
  <c r="E45" i="7"/>
  <c r="D38" i="24"/>
  <c r="E38" i="24"/>
  <c r="I111" i="41"/>
  <c r="H111" i="41"/>
  <c r="F37" i="29"/>
  <c r="B37" i="29"/>
  <c r="I34" i="30"/>
  <c r="I32" i="41"/>
  <c r="G38" i="23"/>
  <c r="I38" i="23" s="1"/>
  <c r="E32" i="42"/>
  <c r="D32" i="42"/>
  <c r="I113" i="13"/>
  <c r="H113" i="13"/>
  <c r="H43" i="10"/>
  <c r="I43" i="10" s="1"/>
  <c r="E34" i="39"/>
  <c r="D34" i="39"/>
  <c r="I111" i="45"/>
  <c r="J111" i="45" s="1"/>
  <c r="H111" i="45"/>
  <c r="B112" i="41"/>
  <c r="F112" i="41"/>
  <c r="H31" i="45"/>
  <c r="I31" i="45" s="1"/>
  <c r="D42" i="5"/>
  <c r="E42" i="5"/>
  <c r="G31" i="42"/>
  <c r="I31" i="42" s="1"/>
  <c r="D42" i="4"/>
  <c r="E42" i="4"/>
  <c r="I32" i="40"/>
  <c r="F114" i="13"/>
  <c r="B114" i="13"/>
  <c r="E44" i="11"/>
  <c r="D44" i="11"/>
  <c r="H33" i="39"/>
  <c r="F112" i="45"/>
  <c r="B112" i="45"/>
  <c r="E39" i="23"/>
  <c r="D39" i="23"/>
  <c r="D33" i="37"/>
  <c r="E33" i="37"/>
  <c r="B112" i="43"/>
  <c r="F112" i="43"/>
  <c r="D44" i="10"/>
  <c r="E44" i="10"/>
  <c r="G33" i="39"/>
  <c r="F35" i="31"/>
  <c r="H35" i="31" s="1"/>
  <c r="B35" i="31"/>
  <c r="D36" i="28"/>
  <c r="E36" i="28"/>
  <c r="D40" i="22"/>
  <c r="E40" i="22"/>
  <c r="H32" i="37"/>
  <c r="D33" i="38"/>
  <c r="E33" i="38"/>
  <c r="D33" i="43"/>
  <c r="E33" i="43"/>
  <c r="E113" i="39"/>
  <c r="D113" i="39"/>
  <c r="G112" i="39"/>
  <c r="D34" i="13"/>
  <c r="E34" i="13" s="1"/>
  <c r="D33" i="40"/>
  <c r="E33" i="40"/>
  <c r="D40" i="25"/>
  <c r="E40" i="25"/>
  <c r="H41" i="8"/>
  <c r="F116" i="31"/>
  <c r="B116" i="31"/>
  <c r="I41" i="4"/>
  <c r="I115" i="31"/>
  <c r="H115" i="31"/>
  <c r="D35" i="30"/>
  <c r="E35" i="30"/>
  <c r="I111" i="43"/>
  <c r="H111" i="43"/>
  <c r="H37" i="24"/>
  <c r="I37" i="24" s="1"/>
  <c r="E33" i="41"/>
  <c r="D33" i="41"/>
  <c r="D42" i="3"/>
  <c r="E42" i="3"/>
  <c r="G32" i="37"/>
  <c r="G32" i="43"/>
  <c r="I32" i="43" s="1"/>
  <c r="G39" i="25"/>
  <c r="I39" i="25" s="1"/>
  <c r="G41" i="8"/>
  <c r="H44" i="7"/>
  <c r="I44" i="7" s="1"/>
  <c r="H112" i="42" l="1"/>
  <c r="I112" i="42"/>
  <c r="J112" i="42" s="1"/>
  <c r="E113" i="42"/>
  <c r="F113" i="42"/>
  <c r="B113" i="42"/>
  <c r="D113" i="44"/>
  <c r="B113" i="44" s="1"/>
  <c r="G112" i="44"/>
  <c r="I32" i="37"/>
  <c r="G35" i="31"/>
  <c r="I35" i="31" s="1"/>
  <c r="J111" i="44"/>
  <c r="I41" i="6"/>
  <c r="G36" i="27"/>
  <c r="E37" i="27"/>
  <c r="D37" i="27"/>
  <c r="I41" i="8"/>
  <c r="B32" i="44"/>
  <c r="F32" i="44"/>
  <c r="I43" i="9"/>
  <c r="H36" i="27"/>
  <c r="D44" i="9"/>
  <c r="E44" i="9"/>
  <c r="B42" i="6"/>
  <c r="F42" i="6"/>
  <c r="G42" i="6" s="1"/>
  <c r="D120" i="25"/>
  <c r="G119" i="25"/>
  <c r="E120" i="25"/>
  <c r="D121" i="5"/>
  <c r="G120" i="5"/>
  <c r="E121" i="5"/>
  <c r="J119" i="5"/>
  <c r="G112" i="37"/>
  <c r="E113" i="37"/>
  <c r="D113" i="37"/>
  <c r="J111" i="40"/>
  <c r="J118" i="25"/>
  <c r="G114" i="30"/>
  <c r="D115" i="30"/>
  <c r="E115" i="30"/>
  <c r="G122" i="11"/>
  <c r="E123" i="11"/>
  <c r="D123" i="11"/>
  <c r="B113" i="38"/>
  <c r="F113" i="38"/>
  <c r="J116" i="24"/>
  <c r="G116" i="27"/>
  <c r="E117" i="27"/>
  <c r="D117" i="27"/>
  <c r="E113" i="40"/>
  <c r="G112" i="40"/>
  <c r="D113" i="40"/>
  <c r="D124" i="10"/>
  <c r="E124" i="10"/>
  <c r="G123" i="10"/>
  <c r="D121" i="4"/>
  <c r="G120" i="4"/>
  <c r="E121" i="4"/>
  <c r="E122" i="8"/>
  <c r="D122" i="8"/>
  <c r="G121" i="8"/>
  <c r="D119" i="23"/>
  <c r="E119" i="23"/>
  <c r="G118" i="23"/>
  <c r="J114" i="28"/>
  <c r="J118" i="22"/>
  <c r="J120" i="8"/>
  <c r="J121" i="11"/>
  <c r="J121" i="9"/>
  <c r="D120" i="22"/>
  <c r="G119" i="22"/>
  <c r="E120" i="22"/>
  <c r="G121" i="6"/>
  <c r="D122" i="6"/>
  <c r="E122" i="6"/>
  <c r="J122" i="7"/>
  <c r="G115" i="28"/>
  <c r="D116" i="28"/>
  <c r="E116" i="28"/>
  <c r="E123" i="9"/>
  <c r="G122" i="9"/>
  <c r="D123" i="9"/>
  <c r="J119" i="4"/>
  <c r="G123" i="7"/>
  <c r="E124" i="7"/>
  <c r="D124" i="7"/>
  <c r="I112" i="38"/>
  <c r="H112" i="38"/>
  <c r="E121" i="3"/>
  <c r="G120" i="3"/>
  <c r="D121" i="3"/>
  <c r="E118" i="24"/>
  <c r="D118" i="24"/>
  <c r="G117" i="24"/>
  <c r="F117" i="29"/>
  <c r="B117" i="29"/>
  <c r="H116" i="29"/>
  <c r="I116" i="29"/>
  <c r="F34" i="13"/>
  <c r="G34" i="13" s="1"/>
  <c r="B34" i="13"/>
  <c r="D38" i="29"/>
  <c r="E38" i="29"/>
  <c r="D113" i="43"/>
  <c r="G112" i="43"/>
  <c r="E113" i="43"/>
  <c r="G112" i="45"/>
  <c r="D113" i="45"/>
  <c r="F42" i="4"/>
  <c r="H42" i="4" s="1"/>
  <c r="G42" i="4"/>
  <c r="B42" i="4"/>
  <c r="F44" i="10"/>
  <c r="G44" i="10" s="1"/>
  <c r="B44" i="10"/>
  <c r="H44" i="10"/>
  <c r="H112" i="39"/>
  <c r="I112" i="39"/>
  <c r="I33" i="39"/>
  <c r="B34" i="39"/>
  <c r="F34" i="39"/>
  <c r="G34" i="39" s="1"/>
  <c r="J113" i="13"/>
  <c r="J111" i="41"/>
  <c r="B32" i="45"/>
  <c r="F32" i="45"/>
  <c r="G32" i="45" s="1"/>
  <c r="F33" i="38"/>
  <c r="G33" i="38" s="1"/>
  <c r="B33" i="38"/>
  <c r="B35" i="30"/>
  <c r="F35" i="30"/>
  <c r="F113" i="39"/>
  <c r="B113" i="39"/>
  <c r="D36" i="31"/>
  <c r="E36" i="31"/>
  <c r="F33" i="37"/>
  <c r="H33" i="37" s="1"/>
  <c r="B33" i="37"/>
  <c r="B44" i="11"/>
  <c r="F44" i="11"/>
  <c r="H44" i="11" s="1"/>
  <c r="B36" i="28"/>
  <c r="F36" i="28"/>
  <c r="H36" i="28"/>
  <c r="G36" i="28"/>
  <c r="F33" i="41"/>
  <c r="G33" i="41" s="1"/>
  <c r="B33" i="41"/>
  <c r="F40" i="25"/>
  <c r="B40" i="25"/>
  <c r="F39" i="23"/>
  <c r="G39" i="23" s="1"/>
  <c r="B39" i="23"/>
  <c r="B42" i="5"/>
  <c r="F42" i="5"/>
  <c r="G42" i="5" s="1"/>
  <c r="F38" i="24"/>
  <c r="B38" i="24"/>
  <c r="F32" i="42"/>
  <c r="G32" i="42" s="1"/>
  <c r="B32" i="42"/>
  <c r="J115" i="31"/>
  <c r="F40" i="22"/>
  <c r="G40" i="22" s="1"/>
  <c r="B40" i="22"/>
  <c r="H37" i="29"/>
  <c r="D113" i="41"/>
  <c r="G112" i="41"/>
  <c r="E113" i="41"/>
  <c r="J111" i="43"/>
  <c r="G116" i="31"/>
  <c r="D117" i="31"/>
  <c r="E117" i="31"/>
  <c r="B42" i="8"/>
  <c r="F42" i="8"/>
  <c r="H42" i="8" s="1"/>
  <c r="B42" i="3"/>
  <c r="F42" i="3"/>
  <c r="H42" i="3" s="1"/>
  <c r="G42" i="3"/>
  <c r="B33" i="40"/>
  <c r="F33" i="40"/>
  <c r="G33" i="40" s="1"/>
  <c r="B33" i="43"/>
  <c r="F33" i="43"/>
  <c r="H33" i="43" s="1"/>
  <c r="G114" i="13"/>
  <c r="D115" i="13"/>
  <c r="E115" i="13" s="1"/>
  <c r="G37" i="29"/>
  <c r="B45" i="7"/>
  <c r="H45" i="7"/>
  <c r="F45" i="7"/>
  <c r="G45" i="7" s="1"/>
  <c r="G113" i="42" l="1"/>
  <c r="D114" i="42"/>
  <c r="G44" i="11"/>
  <c r="G33" i="37"/>
  <c r="I33" i="37" s="1"/>
  <c r="I36" i="27"/>
  <c r="H33" i="40"/>
  <c r="I33" i="40"/>
  <c r="H112" i="44"/>
  <c r="I112" i="44"/>
  <c r="H33" i="41"/>
  <c r="I33" i="41" s="1"/>
  <c r="I44" i="11"/>
  <c r="I42" i="4"/>
  <c r="E113" i="44"/>
  <c r="F113" i="44" s="1"/>
  <c r="I45" i="7"/>
  <c r="D43" i="6"/>
  <c r="E43" i="6"/>
  <c r="G32" i="44"/>
  <c r="D33" i="44"/>
  <c r="E33" i="44"/>
  <c r="B37" i="27"/>
  <c r="F37" i="27"/>
  <c r="H37" i="27" s="1"/>
  <c r="B44" i="9"/>
  <c r="F44" i="9"/>
  <c r="G44" i="9" s="1"/>
  <c r="I42" i="3"/>
  <c r="I36" i="28"/>
  <c r="H34" i="39"/>
  <c r="I34" i="39" s="1"/>
  <c r="H42" i="6"/>
  <c r="I42" i="6" s="1"/>
  <c r="H32" i="44"/>
  <c r="I32" i="44" s="1"/>
  <c r="F118" i="24"/>
  <c r="B118" i="24"/>
  <c r="H122" i="9"/>
  <c r="I122" i="9"/>
  <c r="H115" i="28"/>
  <c r="I115" i="28"/>
  <c r="J115" i="28" s="1"/>
  <c r="I121" i="6"/>
  <c r="J121" i="6" s="1"/>
  <c r="H121" i="6"/>
  <c r="I121" i="8"/>
  <c r="H121" i="8"/>
  <c r="I120" i="4"/>
  <c r="J120" i="4" s="1"/>
  <c r="H120" i="4"/>
  <c r="B124" i="10"/>
  <c r="F124" i="10"/>
  <c r="B117" i="27"/>
  <c r="F117" i="27"/>
  <c r="E114" i="38"/>
  <c r="G113" i="38"/>
  <c r="D114" i="38"/>
  <c r="H122" i="11"/>
  <c r="I122" i="11"/>
  <c r="J122" i="11" s="1"/>
  <c r="H112" i="37"/>
  <c r="I112" i="37"/>
  <c r="F121" i="5"/>
  <c r="B121" i="5"/>
  <c r="I123" i="7"/>
  <c r="H123" i="7"/>
  <c r="H118" i="23"/>
  <c r="I118" i="23"/>
  <c r="J118" i="23" s="1"/>
  <c r="F122" i="8"/>
  <c r="B122" i="8"/>
  <c r="B121" i="4"/>
  <c r="F121" i="4"/>
  <c r="F113" i="40"/>
  <c r="B113" i="40"/>
  <c r="B121" i="3"/>
  <c r="F121" i="3"/>
  <c r="J112" i="38"/>
  <c r="H119" i="22"/>
  <c r="I119" i="22"/>
  <c r="H123" i="10"/>
  <c r="I123" i="10"/>
  <c r="J123" i="10" s="1"/>
  <c r="I112" i="40"/>
  <c r="H112" i="40"/>
  <c r="I116" i="27"/>
  <c r="J116" i="27" s="1"/>
  <c r="H116" i="27"/>
  <c r="B123" i="11"/>
  <c r="F123" i="11"/>
  <c r="F115" i="30"/>
  <c r="B115" i="30"/>
  <c r="F113" i="37"/>
  <c r="B113" i="37"/>
  <c r="H119" i="25"/>
  <c r="I119" i="25"/>
  <c r="J119" i="25" s="1"/>
  <c r="H117" i="24"/>
  <c r="I117" i="24"/>
  <c r="H120" i="3"/>
  <c r="I120" i="3"/>
  <c r="J120" i="3" s="1"/>
  <c r="B124" i="7"/>
  <c r="F124" i="7"/>
  <c r="B123" i="9"/>
  <c r="F123" i="9"/>
  <c r="F116" i="28"/>
  <c r="B116" i="28"/>
  <c r="F122" i="6"/>
  <c r="B122" i="6"/>
  <c r="F120" i="22"/>
  <c r="B120" i="22"/>
  <c r="B119" i="23"/>
  <c r="F119" i="23"/>
  <c r="I114" i="30"/>
  <c r="J114" i="30" s="1"/>
  <c r="H114" i="30"/>
  <c r="H120" i="5"/>
  <c r="I120" i="5"/>
  <c r="J120" i="5" s="1"/>
  <c r="F120" i="25"/>
  <c r="B120" i="25"/>
  <c r="E118" i="29"/>
  <c r="G117" i="29"/>
  <c r="D118" i="29"/>
  <c r="J112" i="39"/>
  <c r="J116" i="29"/>
  <c r="D39" i="24"/>
  <c r="E39" i="24"/>
  <c r="D34" i="43"/>
  <c r="E34" i="43"/>
  <c r="I44" i="10"/>
  <c r="H112" i="45"/>
  <c r="I112" i="45"/>
  <c r="F38" i="29"/>
  <c r="G38" i="29" s="1"/>
  <c r="B38" i="29"/>
  <c r="D41" i="22"/>
  <c r="E41" i="22"/>
  <c r="D43" i="5"/>
  <c r="E43" i="5"/>
  <c r="D40" i="23"/>
  <c r="E40" i="23"/>
  <c r="D34" i="38"/>
  <c r="E34" i="38"/>
  <c r="D43" i="3"/>
  <c r="E43" i="3"/>
  <c r="D36" i="30"/>
  <c r="E36" i="30"/>
  <c r="H42" i="5"/>
  <c r="I42" i="5" s="1"/>
  <c r="H35" i="30"/>
  <c r="D45" i="10"/>
  <c r="E45" i="10"/>
  <c r="I112" i="43"/>
  <c r="H112" i="43"/>
  <c r="B113" i="45"/>
  <c r="D43" i="8"/>
  <c r="E43" i="8"/>
  <c r="F36" i="31"/>
  <c r="B36" i="31"/>
  <c r="E34" i="40"/>
  <c r="D34" i="40"/>
  <c r="G42" i="8"/>
  <c r="I42" i="8" s="1"/>
  <c r="I112" i="41"/>
  <c r="H112" i="41"/>
  <c r="G35" i="30"/>
  <c r="D33" i="45"/>
  <c r="E33" i="45"/>
  <c r="D35" i="39"/>
  <c r="E35" i="39"/>
  <c r="D43" i="4"/>
  <c r="E43" i="4"/>
  <c r="B113" i="43"/>
  <c r="F113" i="43"/>
  <c r="H114" i="13"/>
  <c r="I114" i="13"/>
  <c r="I116" i="31"/>
  <c r="H116" i="31"/>
  <c r="D35" i="13"/>
  <c r="E35" i="13" s="1"/>
  <c r="D41" i="25"/>
  <c r="E41" i="25"/>
  <c r="D114" i="39"/>
  <c r="G113" i="39"/>
  <c r="E114" i="39"/>
  <c r="F113" i="41"/>
  <c r="B113" i="41"/>
  <c r="D33" i="42"/>
  <c r="E33" i="42"/>
  <c r="G38" i="24"/>
  <c r="H40" i="25"/>
  <c r="H34" i="13"/>
  <c r="I34" i="13" s="1"/>
  <c r="D46" i="7"/>
  <c r="E46" i="7"/>
  <c r="B115" i="13"/>
  <c r="F115" i="13"/>
  <c r="G33" i="43"/>
  <c r="I33" i="43" s="1"/>
  <c r="F117" i="31"/>
  <c r="B117" i="31"/>
  <c r="I37" i="29"/>
  <c r="H40" i="22"/>
  <c r="I40" i="22" s="1"/>
  <c r="H32" i="42"/>
  <c r="I32" i="42" s="1"/>
  <c r="H38" i="24"/>
  <c r="H39" i="23"/>
  <c r="I39" i="23" s="1"/>
  <c r="G40" i="25"/>
  <c r="D34" i="41"/>
  <c r="E34" i="41"/>
  <c r="D37" i="28"/>
  <c r="E37" i="28"/>
  <c r="D45" i="11"/>
  <c r="E45" i="11"/>
  <c r="D34" i="37"/>
  <c r="E34" i="37"/>
  <c r="H33" i="38"/>
  <c r="I33" i="38" s="1"/>
  <c r="H32" i="45"/>
  <c r="I32" i="45" s="1"/>
  <c r="E113" i="45"/>
  <c r="F113" i="45" s="1"/>
  <c r="E114" i="42" l="1"/>
  <c r="F114" i="42" s="1"/>
  <c r="B114" i="42"/>
  <c r="J112" i="40"/>
  <c r="J112" i="37"/>
  <c r="H113" i="42"/>
  <c r="I113" i="42"/>
  <c r="J113" i="42" s="1"/>
  <c r="G37" i="27"/>
  <c r="I37" i="27" s="1"/>
  <c r="G113" i="44"/>
  <c r="D114" i="44"/>
  <c r="J112" i="44"/>
  <c r="I40" i="25"/>
  <c r="H38" i="29"/>
  <c r="I38" i="29" s="1"/>
  <c r="B43" i="6"/>
  <c r="F43" i="6"/>
  <c r="H44" i="9"/>
  <c r="I44" i="9" s="1"/>
  <c r="D45" i="9"/>
  <c r="E45" i="9"/>
  <c r="E38" i="27"/>
  <c r="D38" i="27"/>
  <c r="F33" i="44"/>
  <c r="H33" i="44" s="1"/>
  <c r="B33" i="44"/>
  <c r="D121" i="25"/>
  <c r="G120" i="25"/>
  <c r="E121" i="25"/>
  <c r="G120" i="22"/>
  <c r="E121" i="22"/>
  <c r="D121" i="22"/>
  <c r="E117" i="28"/>
  <c r="D117" i="28"/>
  <c r="G116" i="28"/>
  <c r="E114" i="37"/>
  <c r="G113" i="37"/>
  <c r="D114" i="37"/>
  <c r="F114" i="38"/>
  <c r="B114" i="38"/>
  <c r="D120" i="23"/>
  <c r="E120" i="23"/>
  <c r="G119" i="23"/>
  <c r="E124" i="9"/>
  <c r="G123" i="9"/>
  <c r="D124" i="9"/>
  <c r="G113" i="40"/>
  <c r="D114" i="40"/>
  <c r="E114" i="40"/>
  <c r="D123" i="8"/>
  <c r="G122" i="8"/>
  <c r="E123" i="8"/>
  <c r="J123" i="7"/>
  <c r="H113" i="38"/>
  <c r="I113" i="38"/>
  <c r="E125" i="10"/>
  <c r="D125" i="10"/>
  <c r="G124" i="10"/>
  <c r="E123" i="6"/>
  <c r="G122" i="6"/>
  <c r="D123" i="6"/>
  <c r="E116" i="30"/>
  <c r="D116" i="30"/>
  <c r="G115" i="30"/>
  <c r="E122" i="3"/>
  <c r="G121" i="3"/>
  <c r="D122" i="3"/>
  <c r="D122" i="4"/>
  <c r="G121" i="4"/>
  <c r="E122" i="4"/>
  <c r="J121" i="8"/>
  <c r="E119" i="24"/>
  <c r="D119" i="24"/>
  <c r="G118" i="24"/>
  <c r="G124" i="7"/>
  <c r="D125" i="7"/>
  <c r="E125" i="7"/>
  <c r="J117" i="24"/>
  <c r="D124" i="11"/>
  <c r="E124" i="11"/>
  <c r="G123" i="11"/>
  <c r="J119" i="22"/>
  <c r="G121" i="5"/>
  <c r="E122" i="5"/>
  <c r="D122" i="5"/>
  <c r="D118" i="27"/>
  <c r="E118" i="27"/>
  <c r="G117" i="27"/>
  <c r="J122" i="9"/>
  <c r="B118" i="29"/>
  <c r="F118" i="29"/>
  <c r="H117" i="29"/>
  <c r="I117" i="29"/>
  <c r="J114" i="13"/>
  <c r="G113" i="45"/>
  <c r="D114" i="45"/>
  <c r="E114" i="45" s="1"/>
  <c r="F34" i="37"/>
  <c r="B34" i="37"/>
  <c r="D37" i="31"/>
  <c r="E37" i="31"/>
  <c r="B43" i="3"/>
  <c r="F43" i="3"/>
  <c r="G43" i="3" s="1"/>
  <c r="I38" i="24"/>
  <c r="E118" i="31"/>
  <c r="D118" i="31"/>
  <c r="G117" i="31"/>
  <c r="F35" i="13"/>
  <c r="H35" i="13" s="1"/>
  <c r="B35" i="13"/>
  <c r="F43" i="4"/>
  <c r="G43" i="4" s="1"/>
  <c r="B43" i="4"/>
  <c r="H43" i="4"/>
  <c r="F33" i="45"/>
  <c r="G33" i="45" s="1"/>
  <c r="B33" i="45"/>
  <c r="G36" i="31"/>
  <c r="B40" i="23"/>
  <c r="F40" i="23"/>
  <c r="H40" i="23" s="1"/>
  <c r="F45" i="11"/>
  <c r="G45" i="11" s="1"/>
  <c r="B45" i="11"/>
  <c r="H36" i="31"/>
  <c r="I36" i="31" s="1"/>
  <c r="G115" i="13"/>
  <c r="D116" i="13"/>
  <c r="H113" i="39"/>
  <c r="I113" i="39"/>
  <c r="J116" i="31"/>
  <c r="B34" i="40"/>
  <c r="F34" i="40"/>
  <c r="G34" i="40"/>
  <c r="H34" i="40"/>
  <c r="J112" i="43"/>
  <c r="F43" i="5"/>
  <c r="H43" i="5" s="1"/>
  <c r="B43" i="5"/>
  <c r="B37" i="28"/>
  <c r="F37" i="28"/>
  <c r="G37" i="28" s="1"/>
  <c r="F114" i="39"/>
  <c r="B114" i="39"/>
  <c r="F39" i="24"/>
  <c r="G39" i="24" s="1"/>
  <c r="B39" i="24"/>
  <c r="F33" i="42"/>
  <c r="B33" i="42"/>
  <c r="F45" i="10"/>
  <c r="H45" i="10" s="1"/>
  <c r="B45" i="10"/>
  <c r="B41" i="22"/>
  <c r="F41" i="22"/>
  <c r="G41" i="22" s="1"/>
  <c r="B46" i="7"/>
  <c r="F46" i="7"/>
  <c r="G46" i="7" s="1"/>
  <c r="F41" i="25"/>
  <c r="G41" i="25" s="1"/>
  <c r="B41" i="25"/>
  <c r="G113" i="43"/>
  <c r="D114" i="43"/>
  <c r="E114" i="43"/>
  <c r="F36" i="30"/>
  <c r="G36" i="30" s="1"/>
  <c r="B36" i="30"/>
  <c r="D39" i="29"/>
  <c r="E39" i="29"/>
  <c r="B34" i="43"/>
  <c r="F34" i="43"/>
  <c r="G34" i="43" s="1"/>
  <c r="F34" i="41"/>
  <c r="H34" i="41" s="1"/>
  <c r="B34" i="41"/>
  <c r="D114" i="41"/>
  <c r="G113" i="41"/>
  <c r="E114" i="41"/>
  <c r="F35" i="39"/>
  <c r="H35" i="39" s="1"/>
  <c r="B35" i="39"/>
  <c r="J112" i="41"/>
  <c r="F43" i="8"/>
  <c r="G43" i="8" s="1"/>
  <c r="B43" i="8"/>
  <c r="I35" i="30"/>
  <c r="B34" i="38"/>
  <c r="F34" i="38"/>
  <c r="H34" i="38" s="1"/>
  <c r="J112" i="45"/>
  <c r="G114" i="42" l="1"/>
  <c r="D115" i="42"/>
  <c r="G45" i="10"/>
  <c r="H39" i="24"/>
  <c r="H45" i="11"/>
  <c r="G33" i="44"/>
  <c r="H113" i="44"/>
  <c r="I113" i="44"/>
  <c r="J113" i="44" s="1"/>
  <c r="E114" i="44"/>
  <c r="F114" i="44"/>
  <c r="B114" i="44"/>
  <c r="H46" i="7"/>
  <c r="H41" i="25"/>
  <c r="D44" i="6"/>
  <c r="E44" i="6"/>
  <c r="G34" i="41"/>
  <c r="I34" i="41" s="1"/>
  <c r="H34" i="43"/>
  <c r="H37" i="28"/>
  <c r="I33" i="44"/>
  <c r="B38" i="27"/>
  <c r="F38" i="27"/>
  <c r="H38" i="27" s="1"/>
  <c r="H43" i="6"/>
  <c r="I41" i="25"/>
  <c r="I46" i="7"/>
  <c r="I34" i="40"/>
  <c r="H33" i="45"/>
  <c r="I33" i="45" s="1"/>
  <c r="G43" i="6"/>
  <c r="D34" i="44"/>
  <c r="E34" i="44"/>
  <c r="F45" i="9"/>
  <c r="G45" i="9" s="1"/>
  <c r="B45" i="9"/>
  <c r="F118" i="27"/>
  <c r="B118" i="27"/>
  <c r="H118" i="24"/>
  <c r="I118" i="24"/>
  <c r="I121" i="3"/>
  <c r="J121" i="3" s="1"/>
  <c r="H121" i="3"/>
  <c r="I124" i="10"/>
  <c r="J124" i="10" s="1"/>
  <c r="H124" i="10"/>
  <c r="F123" i="8"/>
  <c r="B123" i="8"/>
  <c r="F124" i="9"/>
  <c r="B124" i="9"/>
  <c r="B114" i="37"/>
  <c r="F114" i="37"/>
  <c r="B117" i="28"/>
  <c r="F117" i="28"/>
  <c r="H120" i="22"/>
  <c r="I120" i="22"/>
  <c r="J117" i="29"/>
  <c r="F122" i="5"/>
  <c r="B122" i="5"/>
  <c r="H123" i="11"/>
  <c r="I123" i="11"/>
  <c r="J123" i="11" s="1"/>
  <c r="B119" i="24"/>
  <c r="F119" i="24"/>
  <c r="I121" i="4"/>
  <c r="H121" i="4"/>
  <c r="F123" i="6"/>
  <c r="B123" i="6"/>
  <c r="F125" i="10"/>
  <c r="B125" i="10"/>
  <c r="H123" i="9"/>
  <c r="I123" i="9"/>
  <c r="J123" i="9" s="1"/>
  <c r="B120" i="23"/>
  <c r="F120" i="23"/>
  <c r="H113" i="37"/>
  <c r="I113" i="37"/>
  <c r="J113" i="39"/>
  <c r="I117" i="27"/>
  <c r="J117" i="27" s="1"/>
  <c r="H117" i="27"/>
  <c r="B125" i="7"/>
  <c r="F125" i="7"/>
  <c r="F122" i="4"/>
  <c r="B122" i="4"/>
  <c r="H115" i="30"/>
  <c r="I115" i="30"/>
  <c r="H122" i="6"/>
  <c r="I122" i="6"/>
  <c r="B114" i="40"/>
  <c r="F114" i="40"/>
  <c r="F121" i="22"/>
  <c r="B121" i="22"/>
  <c r="I120" i="25"/>
  <c r="J120" i="25" s="1"/>
  <c r="H120" i="25"/>
  <c r="H121" i="5"/>
  <c r="I121" i="5"/>
  <c r="B124" i="11"/>
  <c r="F124" i="11"/>
  <c r="H124" i="7"/>
  <c r="I124" i="7"/>
  <c r="B122" i="3"/>
  <c r="F122" i="3"/>
  <c r="B116" i="30"/>
  <c r="F116" i="30"/>
  <c r="J113" i="38"/>
  <c r="H122" i="8"/>
  <c r="I122" i="8"/>
  <c r="J122" i="8" s="1"/>
  <c r="I113" i="40"/>
  <c r="H113" i="40"/>
  <c r="I119" i="23"/>
  <c r="H119" i="23"/>
  <c r="G114" i="38"/>
  <c r="E115" i="38"/>
  <c r="D115" i="38"/>
  <c r="I116" i="28"/>
  <c r="J116" i="28" s="1"/>
  <c r="H116" i="28"/>
  <c r="F121" i="25"/>
  <c r="B121" i="25"/>
  <c r="E119" i="29"/>
  <c r="G118" i="29"/>
  <c r="D119" i="29"/>
  <c r="D115" i="39"/>
  <c r="E115" i="39"/>
  <c r="G114" i="39"/>
  <c r="F37" i="31"/>
  <c r="G37" i="31"/>
  <c r="B37" i="31"/>
  <c r="H37" i="31"/>
  <c r="I34" i="43"/>
  <c r="I113" i="41"/>
  <c r="H113" i="41"/>
  <c r="D35" i="37"/>
  <c r="E35" i="37"/>
  <c r="D42" i="22"/>
  <c r="E42" i="22"/>
  <c r="I45" i="11"/>
  <c r="H117" i="31"/>
  <c r="I117" i="31"/>
  <c r="D35" i="40"/>
  <c r="E35" i="40"/>
  <c r="D46" i="11"/>
  <c r="E46" i="11"/>
  <c r="B118" i="31"/>
  <c r="F118" i="31"/>
  <c r="H34" i="37"/>
  <c r="D34" i="42"/>
  <c r="E34" i="42"/>
  <c r="D44" i="5"/>
  <c r="E44" i="5"/>
  <c r="D44" i="3"/>
  <c r="E44" i="3"/>
  <c r="F39" i="29"/>
  <c r="H39" i="29" s="1"/>
  <c r="B39" i="29"/>
  <c r="I45" i="10"/>
  <c r="G43" i="5"/>
  <c r="I43" i="5" s="1"/>
  <c r="D36" i="39"/>
  <c r="E36" i="39"/>
  <c r="H41" i="22"/>
  <c r="I41" i="22" s="1"/>
  <c r="D40" i="24"/>
  <c r="E40" i="24"/>
  <c r="D37" i="30"/>
  <c r="E37" i="30"/>
  <c r="B116" i="13"/>
  <c r="D41" i="23"/>
  <c r="E41" i="23"/>
  <c r="D47" i="7"/>
  <c r="E47" i="7"/>
  <c r="D38" i="28"/>
  <c r="E38" i="28"/>
  <c r="D44" i="4"/>
  <c r="E44" i="4"/>
  <c r="B114" i="41"/>
  <c r="F114" i="41"/>
  <c r="D46" i="10"/>
  <c r="E46" i="10"/>
  <c r="I39" i="24"/>
  <c r="G34" i="37"/>
  <c r="G35" i="39"/>
  <c r="I35" i="39" s="1"/>
  <c r="B114" i="43"/>
  <c r="F114" i="43"/>
  <c r="G33" i="42"/>
  <c r="I115" i="13"/>
  <c r="H115" i="13"/>
  <c r="D36" i="13"/>
  <c r="F114" i="45"/>
  <c r="B114" i="45"/>
  <c r="I43" i="4"/>
  <c r="I37" i="28"/>
  <c r="D35" i="43"/>
  <c r="E35" i="43"/>
  <c r="D35" i="38"/>
  <c r="E35" i="38"/>
  <c r="D44" i="8"/>
  <c r="E44" i="8"/>
  <c r="G34" i="38"/>
  <c r="I34" i="38" s="1"/>
  <c r="H43" i="8"/>
  <c r="I43" i="8" s="1"/>
  <c r="D35" i="41"/>
  <c r="E35" i="41"/>
  <c r="H36" i="30"/>
  <c r="I36" i="30" s="1"/>
  <c r="I113" i="43"/>
  <c r="H113" i="43"/>
  <c r="D42" i="25"/>
  <c r="E42" i="25"/>
  <c r="H33" i="42"/>
  <c r="E116" i="13"/>
  <c r="F116" i="13" s="1"/>
  <c r="G40" i="23"/>
  <c r="I40" i="23" s="1"/>
  <c r="D34" i="45"/>
  <c r="E34" i="45"/>
  <c r="G35" i="13"/>
  <c r="I35" i="13" s="1"/>
  <c r="H43" i="3"/>
  <c r="I43" i="3" s="1"/>
  <c r="H113" i="45"/>
  <c r="I113" i="45"/>
  <c r="I43" i="6" l="1"/>
  <c r="E115" i="42"/>
  <c r="F115" i="42"/>
  <c r="B115" i="42"/>
  <c r="H114" i="42"/>
  <c r="I114" i="42"/>
  <c r="J114" i="42" s="1"/>
  <c r="G39" i="29"/>
  <c r="D115" i="44"/>
  <c r="G114" i="44"/>
  <c r="G34" i="44"/>
  <c r="B34" i="44"/>
  <c r="H34" i="44"/>
  <c r="F34" i="44"/>
  <c r="I37" i="31"/>
  <c r="E46" i="9"/>
  <c r="D46" i="9"/>
  <c r="D39" i="27"/>
  <c r="E39" i="27"/>
  <c r="F44" i="6"/>
  <c r="G44" i="6" s="1"/>
  <c r="B44" i="6"/>
  <c r="J113" i="37"/>
  <c r="H45" i="9"/>
  <c r="I45" i="9" s="1"/>
  <c r="G38" i="27"/>
  <c r="I38" i="27" s="1"/>
  <c r="I114" i="38"/>
  <c r="H114" i="38"/>
  <c r="J113" i="40"/>
  <c r="D117" i="30"/>
  <c r="G116" i="30"/>
  <c r="E117" i="30"/>
  <c r="J124" i="7"/>
  <c r="J121" i="5"/>
  <c r="J122" i="6"/>
  <c r="E124" i="6"/>
  <c r="G123" i="6"/>
  <c r="D124" i="6"/>
  <c r="E123" i="5"/>
  <c r="D123" i="5"/>
  <c r="G122" i="5"/>
  <c r="G117" i="28"/>
  <c r="D118" i="28"/>
  <c r="E118" i="28"/>
  <c r="J118" i="24"/>
  <c r="J113" i="43"/>
  <c r="E122" i="22"/>
  <c r="G121" i="22"/>
  <c r="D122" i="22"/>
  <c r="D123" i="4"/>
  <c r="G122" i="4"/>
  <c r="E123" i="4"/>
  <c r="D121" i="23"/>
  <c r="G120" i="23"/>
  <c r="E121" i="23"/>
  <c r="G124" i="9"/>
  <c r="E125" i="9"/>
  <c r="D125" i="9"/>
  <c r="B115" i="38"/>
  <c r="F115" i="38"/>
  <c r="J119" i="23"/>
  <c r="G122" i="3"/>
  <c r="E123" i="3"/>
  <c r="D123" i="3"/>
  <c r="D125" i="11"/>
  <c r="G124" i="11"/>
  <c r="E125" i="11"/>
  <c r="E115" i="40"/>
  <c r="G114" i="40"/>
  <c r="D115" i="40"/>
  <c r="J115" i="30"/>
  <c r="G125" i="7"/>
  <c r="D126" i="7"/>
  <c r="E126" i="7"/>
  <c r="E126" i="10"/>
  <c r="G125" i="10"/>
  <c r="D126" i="10"/>
  <c r="J121" i="4"/>
  <c r="J120" i="22"/>
  <c r="E115" i="37"/>
  <c r="D115" i="37"/>
  <c r="G114" i="37"/>
  <c r="J115" i="13"/>
  <c r="D122" i="25"/>
  <c r="G121" i="25"/>
  <c r="E122" i="25"/>
  <c r="E120" i="24"/>
  <c r="D120" i="24"/>
  <c r="G119" i="24"/>
  <c r="D124" i="8"/>
  <c r="G123" i="8"/>
  <c r="E124" i="8"/>
  <c r="D119" i="27"/>
  <c r="G118" i="27"/>
  <c r="E119" i="27"/>
  <c r="B119" i="29"/>
  <c r="F119" i="29"/>
  <c r="H118" i="29"/>
  <c r="I118" i="29"/>
  <c r="J118" i="29" s="1"/>
  <c r="J113" i="45"/>
  <c r="G116" i="13"/>
  <c r="D117" i="13"/>
  <c r="B46" i="10"/>
  <c r="F46" i="10"/>
  <c r="H46" i="10" s="1"/>
  <c r="B47" i="7"/>
  <c r="F47" i="7"/>
  <c r="H47" i="7" s="1"/>
  <c r="F41" i="23"/>
  <c r="G41" i="23" s="1"/>
  <c r="B41" i="23"/>
  <c r="F36" i="39"/>
  <c r="B36" i="39"/>
  <c r="E40" i="29"/>
  <c r="D40" i="29"/>
  <c r="F34" i="42"/>
  <c r="G34" i="42" s="1"/>
  <c r="B34" i="42"/>
  <c r="J113" i="41"/>
  <c r="I33" i="42"/>
  <c r="F35" i="43"/>
  <c r="H35" i="43" s="1"/>
  <c r="B35" i="43"/>
  <c r="D115" i="41"/>
  <c r="G114" i="41"/>
  <c r="E115" i="41"/>
  <c r="D38" i="31"/>
  <c r="E38" i="31"/>
  <c r="B35" i="41"/>
  <c r="F35" i="41"/>
  <c r="G35" i="41" s="1"/>
  <c r="H35" i="41"/>
  <c r="G114" i="45"/>
  <c r="D115" i="45"/>
  <c r="E115" i="45" s="1"/>
  <c r="B37" i="30"/>
  <c r="F37" i="30"/>
  <c r="G37" i="30" s="1"/>
  <c r="B44" i="3"/>
  <c r="F44" i="3"/>
  <c r="H44" i="3" s="1"/>
  <c r="H114" i="39"/>
  <c r="I114" i="39"/>
  <c r="J114" i="39" s="1"/>
  <c r="B35" i="38"/>
  <c r="F35" i="38"/>
  <c r="B38" i="28"/>
  <c r="F38" i="28"/>
  <c r="H38" i="28" s="1"/>
  <c r="I39" i="29"/>
  <c r="F34" i="45"/>
  <c r="H34" i="45" s="1"/>
  <c r="B34" i="45"/>
  <c r="F42" i="25"/>
  <c r="H42" i="25" s="1"/>
  <c r="B42" i="25"/>
  <c r="B36" i="13"/>
  <c r="D115" i="43"/>
  <c r="G114" i="43"/>
  <c r="E115" i="43"/>
  <c r="B44" i="8"/>
  <c r="F44" i="8"/>
  <c r="H44" i="8" s="1"/>
  <c r="E36" i="13"/>
  <c r="F36" i="13" s="1"/>
  <c r="B44" i="4"/>
  <c r="F44" i="4"/>
  <c r="H44" i="4" s="1"/>
  <c r="I34" i="37"/>
  <c r="B46" i="11"/>
  <c r="F46" i="11"/>
  <c r="G46" i="11" s="1"/>
  <c r="J117" i="31"/>
  <c r="B42" i="22"/>
  <c r="F42" i="22"/>
  <c r="G42" i="22" s="1"/>
  <c r="B115" i="39"/>
  <c r="F115" i="39"/>
  <c r="B40" i="24"/>
  <c r="F40" i="24"/>
  <c r="H40" i="24" s="1"/>
  <c r="B44" i="5"/>
  <c r="F44" i="5"/>
  <c r="G44" i="5" s="1"/>
  <c r="E119" i="31"/>
  <c r="D119" i="31"/>
  <c r="G118" i="31"/>
  <c r="B35" i="40"/>
  <c r="F35" i="40"/>
  <c r="G35" i="40" s="1"/>
  <c r="B35" i="37"/>
  <c r="F35" i="37"/>
  <c r="G35" i="37" s="1"/>
  <c r="G115" i="42" l="1"/>
  <c r="D116" i="42"/>
  <c r="H114" i="44"/>
  <c r="I114" i="44"/>
  <c r="J114" i="44" s="1"/>
  <c r="I34" i="44"/>
  <c r="B115" i="44"/>
  <c r="E115" i="44"/>
  <c r="F115" i="44" s="1"/>
  <c r="H42" i="22"/>
  <c r="I42" i="22" s="1"/>
  <c r="G47" i="7"/>
  <c r="F46" i="9"/>
  <c r="B46" i="9"/>
  <c r="G44" i="4"/>
  <c r="I44" i="4" s="1"/>
  <c r="G35" i="43"/>
  <c r="I35" i="43" s="1"/>
  <c r="H34" i="42"/>
  <c r="I34" i="42" s="1"/>
  <c r="G46" i="10"/>
  <c r="D45" i="6"/>
  <c r="E45" i="6"/>
  <c r="H46" i="11"/>
  <c r="I46" i="11" s="1"/>
  <c r="H37" i="30"/>
  <c r="I35" i="41"/>
  <c r="H44" i="6"/>
  <c r="I44" i="6" s="1"/>
  <c r="B39" i="27"/>
  <c r="F39" i="27"/>
  <c r="H39" i="27" s="1"/>
  <c r="E35" i="44"/>
  <c r="D35" i="44"/>
  <c r="J114" i="38"/>
  <c r="H118" i="27"/>
  <c r="I118" i="27"/>
  <c r="B124" i="8"/>
  <c r="F124" i="8"/>
  <c r="H114" i="37"/>
  <c r="I114" i="37"/>
  <c r="F115" i="40"/>
  <c r="B115" i="40"/>
  <c r="I124" i="11"/>
  <c r="J124" i="11" s="1"/>
  <c r="H124" i="11"/>
  <c r="H122" i="3"/>
  <c r="I122" i="3"/>
  <c r="J122" i="3" s="1"/>
  <c r="B125" i="9"/>
  <c r="F125" i="9"/>
  <c r="I120" i="23"/>
  <c r="H120" i="23"/>
  <c r="F123" i="4"/>
  <c r="B123" i="4"/>
  <c r="I117" i="28"/>
  <c r="J117" i="28" s="1"/>
  <c r="H117" i="28"/>
  <c r="B124" i="6"/>
  <c r="F124" i="6"/>
  <c r="F117" i="30"/>
  <c r="B117" i="30"/>
  <c r="F119" i="27"/>
  <c r="B119" i="27"/>
  <c r="H119" i="24"/>
  <c r="I119" i="24"/>
  <c r="J119" i="24" s="1"/>
  <c r="I121" i="25"/>
  <c r="H121" i="25"/>
  <c r="F115" i="37"/>
  <c r="B115" i="37"/>
  <c r="B126" i="10"/>
  <c r="F126" i="10"/>
  <c r="F126" i="7"/>
  <c r="B126" i="7"/>
  <c r="I114" i="40"/>
  <c r="H114" i="40"/>
  <c r="F125" i="11"/>
  <c r="B125" i="11"/>
  <c r="B121" i="23"/>
  <c r="F121" i="23"/>
  <c r="B122" i="22"/>
  <c r="F122" i="22"/>
  <c r="H122" i="5"/>
  <c r="I122" i="5"/>
  <c r="H123" i="6"/>
  <c r="I123" i="6"/>
  <c r="J123" i="6" s="1"/>
  <c r="B120" i="24"/>
  <c r="F120" i="24"/>
  <c r="B122" i="25"/>
  <c r="F122" i="25"/>
  <c r="H125" i="10"/>
  <c r="I125" i="10"/>
  <c r="H125" i="7"/>
  <c r="I125" i="7"/>
  <c r="J125" i="7" s="1"/>
  <c r="B123" i="3"/>
  <c r="F123" i="3"/>
  <c r="D116" i="38"/>
  <c r="G115" i="38"/>
  <c r="E116" i="38"/>
  <c r="H124" i="9"/>
  <c r="I124" i="9"/>
  <c r="J124" i="9" s="1"/>
  <c r="H121" i="22"/>
  <c r="I121" i="22"/>
  <c r="F123" i="5"/>
  <c r="B123" i="5"/>
  <c r="I123" i="8"/>
  <c r="J123" i="8" s="1"/>
  <c r="H123" i="8"/>
  <c r="H122" i="4"/>
  <c r="I122" i="4"/>
  <c r="J122" i="4" s="1"/>
  <c r="B118" i="28"/>
  <c r="F118" i="28"/>
  <c r="H116" i="30"/>
  <c r="I116" i="30"/>
  <c r="J116" i="30" s="1"/>
  <c r="E120" i="29"/>
  <c r="G119" i="29"/>
  <c r="D120" i="29"/>
  <c r="H35" i="40"/>
  <c r="I35" i="40" s="1"/>
  <c r="D41" i="24"/>
  <c r="E41" i="24"/>
  <c r="D39" i="28"/>
  <c r="E39" i="28"/>
  <c r="D37" i="39"/>
  <c r="E37" i="39"/>
  <c r="I47" i="7"/>
  <c r="D37" i="13"/>
  <c r="E37" i="13" s="1"/>
  <c r="D45" i="3"/>
  <c r="E45" i="3"/>
  <c r="E45" i="4"/>
  <c r="D45" i="4"/>
  <c r="B117" i="13"/>
  <c r="I118" i="31"/>
  <c r="H118" i="31"/>
  <c r="H35" i="37"/>
  <c r="I35" i="37" s="1"/>
  <c r="B119" i="31"/>
  <c r="F119" i="31"/>
  <c r="G40" i="24"/>
  <c r="G38" i="28"/>
  <c r="I38" i="28" s="1"/>
  <c r="D36" i="41"/>
  <c r="E36" i="41"/>
  <c r="D35" i="42"/>
  <c r="E35" i="42"/>
  <c r="E48" i="7"/>
  <c r="D48" i="7"/>
  <c r="H116" i="13"/>
  <c r="I116" i="13"/>
  <c r="D45" i="8"/>
  <c r="E45" i="8"/>
  <c r="I114" i="43"/>
  <c r="H114" i="43"/>
  <c r="D43" i="25"/>
  <c r="E43" i="25"/>
  <c r="E36" i="38"/>
  <c r="D36" i="38"/>
  <c r="B38" i="31"/>
  <c r="F38" i="31"/>
  <c r="H38" i="31" s="1"/>
  <c r="G40" i="29"/>
  <c r="B40" i="29"/>
  <c r="F40" i="29"/>
  <c r="H40" i="29" s="1"/>
  <c r="E117" i="13"/>
  <c r="F117" i="13" s="1"/>
  <c r="D116" i="39"/>
  <c r="E116" i="39"/>
  <c r="G115" i="39"/>
  <c r="F115" i="43"/>
  <c r="B115" i="43"/>
  <c r="G42" i="25"/>
  <c r="I42" i="25" s="1"/>
  <c r="G35" i="38"/>
  <c r="D38" i="30"/>
  <c r="E38" i="30"/>
  <c r="B115" i="45"/>
  <c r="F115" i="45"/>
  <c r="I46" i="10"/>
  <c r="D35" i="45"/>
  <c r="E35" i="45"/>
  <c r="E42" i="23"/>
  <c r="D42" i="23"/>
  <c r="D36" i="37"/>
  <c r="E36" i="37"/>
  <c r="I40" i="24"/>
  <c r="H44" i="5"/>
  <c r="I44" i="5" s="1"/>
  <c r="E47" i="11"/>
  <c r="D47" i="11"/>
  <c r="G36" i="13"/>
  <c r="H35" i="38"/>
  <c r="I114" i="45"/>
  <c r="H114" i="45"/>
  <c r="H114" i="41"/>
  <c r="I114" i="41"/>
  <c r="G36" i="39"/>
  <c r="H41" i="23"/>
  <c r="I41" i="23" s="1"/>
  <c r="E47" i="10"/>
  <c r="D47" i="10"/>
  <c r="D36" i="40"/>
  <c r="E36" i="40"/>
  <c r="D45" i="5"/>
  <c r="E45" i="5"/>
  <c r="D43" i="22"/>
  <c r="E43" i="22"/>
  <c r="G44" i="8"/>
  <c r="I44" i="8" s="1"/>
  <c r="H36" i="13"/>
  <c r="G34" i="45"/>
  <c r="I34" i="45" s="1"/>
  <c r="G44" i="3"/>
  <c r="I44" i="3" s="1"/>
  <c r="I37" i="30"/>
  <c r="B115" i="41"/>
  <c r="F115" i="41"/>
  <c r="D36" i="43"/>
  <c r="E36" i="43"/>
  <c r="H36" i="39"/>
  <c r="E116" i="42" l="1"/>
  <c r="B116" i="42"/>
  <c r="F116" i="42"/>
  <c r="G38" i="31"/>
  <c r="J114" i="40"/>
  <c r="G39" i="27"/>
  <c r="I115" i="42"/>
  <c r="H115" i="42"/>
  <c r="I39" i="27"/>
  <c r="I36" i="39"/>
  <c r="D116" i="44"/>
  <c r="G115" i="44"/>
  <c r="H46" i="9"/>
  <c r="D47" i="9"/>
  <c r="E47" i="9"/>
  <c r="I38" i="31"/>
  <c r="B35" i="44"/>
  <c r="F35" i="44"/>
  <c r="G35" i="44" s="1"/>
  <c r="E40" i="27"/>
  <c r="D40" i="27"/>
  <c r="G46" i="9"/>
  <c r="I36" i="13"/>
  <c r="F45" i="6"/>
  <c r="G45" i="6" s="1"/>
  <c r="B45" i="6"/>
  <c r="I115" i="38"/>
  <c r="H115" i="38"/>
  <c r="D123" i="25"/>
  <c r="E123" i="25"/>
  <c r="G122" i="25"/>
  <c r="D123" i="22"/>
  <c r="G122" i="22"/>
  <c r="E123" i="22"/>
  <c r="E125" i="8"/>
  <c r="D125" i="8"/>
  <c r="G124" i="8"/>
  <c r="F116" i="38"/>
  <c r="B116" i="38"/>
  <c r="D126" i="11"/>
  <c r="E126" i="11"/>
  <c r="G125" i="11"/>
  <c r="G126" i="7"/>
  <c r="E127" i="7"/>
  <c r="D127" i="7"/>
  <c r="E116" i="37"/>
  <c r="G115" i="37"/>
  <c r="D116" i="37"/>
  <c r="G117" i="30"/>
  <c r="D118" i="30"/>
  <c r="E118" i="30"/>
  <c r="J120" i="23"/>
  <c r="G115" i="40"/>
  <c r="D116" i="40"/>
  <c r="E116" i="40"/>
  <c r="E124" i="5"/>
  <c r="G123" i="5"/>
  <c r="D124" i="5"/>
  <c r="G123" i="3"/>
  <c r="D124" i="3"/>
  <c r="E124" i="3"/>
  <c r="J125" i="10"/>
  <c r="G120" i="24"/>
  <c r="E121" i="24"/>
  <c r="D121" i="24"/>
  <c r="J122" i="5"/>
  <c r="G121" i="23"/>
  <c r="E122" i="23"/>
  <c r="D122" i="23"/>
  <c r="E127" i="10"/>
  <c r="G126" i="10"/>
  <c r="D127" i="10"/>
  <c r="G124" i="6"/>
  <c r="D125" i="6"/>
  <c r="E125" i="6"/>
  <c r="D126" i="9"/>
  <c r="G125" i="9"/>
  <c r="E126" i="9"/>
  <c r="J114" i="37"/>
  <c r="J118" i="27"/>
  <c r="D119" i="28"/>
  <c r="E119" i="28"/>
  <c r="G118" i="28"/>
  <c r="J121" i="22"/>
  <c r="J121" i="25"/>
  <c r="E120" i="27"/>
  <c r="D120" i="27"/>
  <c r="G119" i="27"/>
  <c r="E124" i="4"/>
  <c r="D124" i="4"/>
  <c r="G123" i="4"/>
  <c r="J116" i="13"/>
  <c r="H119" i="29"/>
  <c r="I119" i="29"/>
  <c r="J119" i="29" s="1"/>
  <c r="J114" i="41"/>
  <c r="B120" i="29"/>
  <c r="F120" i="29"/>
  <c r="G117" i="13"/>
  <c r="D118" i="13"/>
  <c r="E118" i="13" s="1"/>
  <c r="F36" i="43"/>
  <c r="H36" i="43" s="1"/>
  <c r="B36" i="43"/>
  <c r="F36" i="40"/>
  <c r="H36" i="40" s="1"/>
  <c r="B36" i="40"/>
  <c r="F45" i="8"/>
  <c r="G45" i="8" s="1"/>
  <c r="B45" i="8"/>
  <c r="B36" i="38"/>
  <c r="F36" i="38"/>
  <c r="D120" i="31"/>
  <c r="G119" i="31"/>
  <c r="E120" i="31"/>
  <c r="J114" i="45"/>
  <c r="B47" i="11"/>
  <c r="F47" i="11"/>
  <c r="H47" i="11" s="1"/>
  <c r="D41" i="29"/>
  <c r="E41" i="29"/>
  <c r="F36" i="41"/>
  <c r="B36" i="41"/>
  <c r="F45" i="3"/>
  <c r="H45" i="3" s="1"/>
  <c r="B45" i="3"/>
  <c r="B43" i="25"/>
  <c r="F43" i="25"/>
  <c r="F35" i="42"/>
  <c r="H35" i="42" s="1"/>
  <c r="B35" i="42"/>
  <c r="F43" i="22"/>
  <c r="H43" i="22" s="1"/>
  <c r="B43" i="22"/>
  <c r="B42" i="23"/>
  <c r="F42" i="23"/>
  <c r="H42" i="23" s="1"/>
  <c r="I40" i="29"/>
  <c r="F41" i="24"/>
  <c r="H41" i="24" s="1"/>
  <c r="B41" i="24"/>
  <c r="D116" i="43"/>
  <c r="G115" i="43"/>
  <c r="E116" i="43"/>
  <c r="F37" i="13"/>
  <c r="H37" i="13" s="1"/>
  <c r="B37" i="13"/>
  <c r="F47" i="10"/>
  <c r="G47" i="10" s="1"/>
  <c r="B47" i="10"/>
  <c r="I35" i="38"/>
  <c r="B116" i="39"/>
  <c r="F116" i="39"/>
  <c r="J114" i="43"/>
  <c r="F45" i="4"/>
  <c r="G45" i="4" s="1"/>
  <c r="B45" i="4"/>
  <c r="F48" i="7"/>
  <c r="H48" i="7" s="1"/>
  <c r="B48" i="7"/>
  <c r="B45" i="5"/>
  <c r="F45" i="5"/>
  <c r="G45" i="5" s="1"/>
  <c r="D39" i="31"/>
  <c r="E39" i="31"/>
  <c r="B35" i="45"/>
  <c r="F35" i="45"/>
  <c r="G35" i="45" s="1"/>
  <c r="B38" i="30"/>
  <c r="F38" i="30"/>
  <c r="F37" i="39"/>
  <c r="H37" i="39" s="1"/>
  <c r="B37" i="39"/>
  <c r="D116" i="45"/>
  <c r="E116" i="45" s="1"/>
  <c r="G115" i="45"/>
  <c r="H115" i="39"/>
  <c r="I115" i="39"/>
  <c r="J118" i="31"/>
  <c r="B36" i="37"/>
  <c r="F36" i="37"/>
  <c r="G36" i="37" s="1"/>
  <c r="D116" i="41"/>
  <c r="G115" i="41"/>
  <c r="E116" i="41"/>
  <c r="F39" i="28"/>
  <c r="G39" i="28" s="1"/>
  <c r="B39" i="28"/>
  <c r="J115" i="42" l="1"/>
  <c r="G116" i="42"/>
  <c r="D117" i="42"/>
  <c r="G37" i="39"/>
  <c r="I37" i="39" s="1"/>
  <c r="H115" i="44"/>
  <c r="I115" i="44"/>
  <c r="J115" i="44" s="1"/>
  <c r="H45" i="6"/>
  <c r="I45" i="6" s="1"/>
  <c r="E116" i="44"/>
  <c r="F116" i="44" s="1"/>
  <c r="B116" i="44"/>
  <c r="H35" i="45"/>
  <c r="I35" i="45" s="1"/>
  <c r="H36" i="37"/>
  <c r="I36" i="37" s="1"/>
  <c r="G45" i="3"/>
  <c r="G36" i="43"/>
  <c r="E36" i="44"/>
  <c r="D36" i="44"/>
  <c r="H39" i="28"/>
  <c r="I39" i="28" s="1"/>
  <c r="I36" i="43"/>
  <c r="F40" i="27"/>
  <c r="H40" i="27" s="1"/>
  <c r="G40" i="27"/>
  <c r="B40" i="27"/>
  <c r="B47" i="9"/>
  <c r="F47" i="9"/>
  <c r="H47" i="9" s="1"/>
  <c r="E46" i="6"/>
  <c r="D46" i="6"/>
  <c r="H35" i="44"/>
  <c r="I35" i="44" s="1"/>
  <c r="I46" i="9"/>
  <c r="F124" i="4"/>
  <c r="B124" i="4"/>
  <c r="F125" i="6"/>
  <c r="B125" i="6"/>
  <c r="F124" i="5"/>
  <c r="B124" i="5"/>
  <c r="F116" i="40"/>
  <c r="B116" i="40"/>
  <c r="F118" i="30"/>
  <c r="B118" i="30"/>
  <c r="I125" i="11"/>
  <c r="H125" i="11"/>
  <c r="E117" i="38"/>
  <c r="D117" i="38"/>
  <c r="G116" i="38"/>
  <c r="F119" i="28"/>
  <c r="B119" i="28"/>
  <c r="H125" i="9"/>
  <c r="I125" i="9"/>
  <c r="I124" i="6"/>
  <c r="J124" i="6" s="1"/>
  <c r="H124" i="6"/>
  <c r="F122" i="23"/>
  <c r="B122" i="23"/>
  <c r="F121" i="24"/>
  <c r="B121" i="24"/>
  <c r="H123" i="5"/>
  <c r="I123" i="5"/>
  <c r="I115" i="40"/>
  <c r="H115" i="40"/>
  <c r="I117" i="30"/>
  <c r="J117" i="30" s="1"/>
  <c r="H117" i="30"/>
  <c r="B127" i="7"/>
  <c r="F127" i="7"/>
  <c r="I124" i="8"/>
  <c r="J124" i="8" s="1"/>
  <c r="H124" i="8"/>
  <c r="H122" i="22"/>
  <c r="I122" i="22"/>
  <c r="F123" i="25"/>
  <c r="B123" i="25"/>
  <c r="I119" i="27"/>
  <c r="J119" i="27" s="1"/>
  <c r="H119" i="27"/>
  <c r="B126" i="9"/>
  <c r="F126" i="9"/>
  <c r="F127" i="10"/>
  <c r="B127" i="10"/>
  <c r="F124" i="3"/>
  <c r="B124" i="3"/>
  <c r="F116" i="37"/>
  <c r="B116" i="37"/>
  <c r="F126" i="11"/>
  <c r="B126" i="11"/>
  <c r="F125" i="8"/>
  <c r="B125" i="8"/>
  <c r="F123" i="22"/>
  <c r="B123" i="22"/>
  <c r="H123" i="4"/>
  <c r="I123" i="4"/>
  <c r="J123" i="4" s="1"/>
  <c r="F120" i="27"/>
  <c r="B120" i="27"/>
  <c r="H118" i="28"/>
  <c r="I118" i="28"/>
  <c r="J118" i="28" s="1"/>
  <c r="I126" i="10"/>
  <c r="H126" i="10"/>
  <c r="H121" i="23"/>
  <c r="I121" i="23"/>
  <c r="J121" i="23" s="1"/>
  <c r="I120" i="24"/>
  <c r="H120" i="24"/>
  <c r="I123" i="3"/>
  <c r="H123" i="3"/>
  <c r="I115" i="37"/>
  <c r="H115" i="37"/>
  <c r="H126" i="7"/>
  <c r="I126" i="7"/>
  <c r="J126" i="7" s="1"/>
  <c r="H122" i="25"/>
  <c r="I122" i="25"/>
  <c r="J122" i="25" s="1"/>
  <c r="J115" i="38"/>
  <c r="E121" i="29"/>
  <c r="G120" i="29"/>
  <c r="D121" i="29"/>
  <c r="J115" i="39"/>
  <c r="F118" i="13"/>
  <c r="B118" i="13"/>
  <c r="I119" i="31"/>
  <c r="H119" i="31"/>
  <c r="D37" i="40"/>
  <c r="E37" i="40"/>
  <c r="H115" i="41"/>
  <c r="I115" i="41"/>
  <c r="D117" i="39"/>
  <c r="E117" i="39"/>
  <c r="G116" i="39"/>
  <c r="E36" i="42"/>
  <c r="D36" i="42"/>
  <c r="I45" i="3"/>
  <c r="B120" i="31"/>
  <c r="F120" i="31"/>
  <c r="D49" i="7"/>
  <c r="E49" i="7"/>
  <c r="H45" i="4"/>
  <c r="I45" i="4" s="1"/>
  <c r="G42" i="23"/>
  <c r="I42" i="23" s="1"/>
  <c r="D44" i="25"/>
  <c r="E44" i="25"/>
  <c r="H117" i="13"/>
  <c r="I117" i="13"/>
  <c r="B116" i="41"/>
  <c r="F116" i="41"/>
  <c r="D36" i="45"/>
  <c r="E36" i="45"/>
  <c r="F39" i="31"/>
  <c r="G39" i="31" s="1"/>
  <c r="B39" i="31"/>
  <c r="G35" i="42"/>
  <c r="I35" i="42" s="1"/>
  <c r="G43" i="25"/>
  <c r="D46" i="3"/>
  <c r="E46" i="3"/>
  <c r="F41" i="29"/>
  <c r="B41" i="29"/>
  <c r="D39" i="30"/>
  <c r="E39" i="30"/>
  <c r="D37" i="41"/>
  <c r="E37" i="41"/>
  <c r="D46" i="5"/>
  <c r="E46" i="5"/>
  <c r="D48" i="10"/>
  <c r="E48" i="10"/>
  <c r="E42" i="24"/>
  <c r="D42" i="24"/>
  <c r="E43" i="23"/>
  <c r="D43" i="23"/>
  <c r="D46" i="8"/>
  <c r="E46" i="8"/>
  <c r="I115" i="45"/>
  <c r="H115" i="45"/>
  <c r="G43" i="22"/>
  <c r="I43" i="22" s="1"/>
  <c r="H43" i="25"/>
  <c r="D48" i="11"/>
  <c r="E48" i="11"/>
  <c r="D37" i="38"/>
  <c r="E37" i="38"/>
  <c r="F116" i="45"/>
  <c r="B116" i="45"/>
  <c r="H38" i="30"/>
  <c r="H115" i="43"/>
  <c r="I115" i="43"/>
  <c r="J115" i="43" s="1"/>
  <c r="G36" i="41"/>
  <c r="H36" i="38"/>
  <c r="H45" i="8"/>
  <c r="I45" i="8" s="1"/>
  <c r="E37" i="43"/>
  <c r="D37" i="43"/>
  <c r="H45" i="5"/>
  <c r="I45" i="5" s="1"/>
  <c r="H36" i="41"/>
  <c r="H47" i="10"/>
  <c r="I47" i="10" s="1"/>
  <c r="D38" i="13"/>
  <c r="E38" i="13"/>
  <c r="D40" i="28"/>
  <c r="E40" i="28"/>
  <c r="E37" i="37"/>
  <c r="D37" i="37"/>
  <c r="E38" i="39"/>
  <c r="D38" i="39"/>
  <c r="G38" i="30"/>
  <c r="G48" i="7"/>
  <c r="I48" i="7" s="1"/>
  <c r="G37" i="13"/>
  <c r="I37" i="13" s="1"/>
  <c r="F116" i="43"/>
  <c r="B116" i="43"/>
  <c r="G41" i="24"/>
  <c r="I41" i="24" s="1"/>
  <c r="G47" i="11"/>
  <c r="I47" i="11" s="1"/>
  <c r="G36" i="38"/>
  <c r="G36" i="40"/>
  <c r="I36" i="40" s="1"/>
  <c r="D46" i="4"/>
  <c r="E46" i="4"/>
  <c r="D44" i="22"/>
  <c r="E44" i="22"/>
  <c r="E117" i="42" l="1"/>
  <c r="B117" i="42"/>
  <c r="F117" i="42"/>
  <c r="J115" i="40"/>
  <c r="I40" i="27"/>
  <c r="I116" i="42"/>
  <c r="H116" i="42"/>
  <c r="D117" i="44"/>
  <c r="G116" i="44"/>
  <c r="I43" i="25"/>
  <c r="G47" i="9"/>
  <c r="I47" i="9" s="1"/>
  <c r="I36" i="38"/>
  <c r="F46" i="6"/>
  <c r="H46" i="6"/>
  <c r="B46" i="6"/>
  <c r="E48" i="9"/>
  <c r="D48" i="9"/>
  <c r="F36" i="44"/>
  <c r="G36" i="44" s="1"/>
  <c r="B36" i="44"/>
  <c r="I38" i="30"/>
  <c r="D41" i="27"/>
  <c r="E41" i="27"/>
  <c r="J123" i="3"/>
  <c r="D126" i="8"/>
  <c r="E126" i="8"/>
  <c r="G125" i="8"/>
  <c r="E117" i="37"/>
  <c r="G116" i="37"/>
  <c r="D117" i="37"/>
  <c r="E128" i="10"/>
  <c r="G127" i="10"/>
  <c r="D128" i="10"/>
  <c r="D122" i="24"/>
  <c r="E122" i="24"/>
  <c r="G121" i="24"/>
  <c r="G119" i="28"/>
  <c r="D120" i="28"/>
  <c r="E120" i="28"/>
  <c r="E127" i="9"/>
  <c r="D127" i="9"/>
  <c r="G126" i="9"/>
  <c r="J123" i="5"/>
  <c r="J125" i="9"/>
  <c r="H116" i="38"/>
  <c r="I116" i="38"/>
  <c r="J125" i="11"/>
  <c r="D117" i="40"/>
  <c r="E117" i="40"/>
  <c r="G116" i="40"/>
  <c r="E126" i="6"/>
  <c r="D126" i="6"/>
  <c r="G125" i="6"/>
  <c r="J115" i="37"/>
  <c r="J120" i="24"/>
  <c r="J126" i="10"/>
  <c r="G120" i="27"/>
  <c r="D121" i="27"/>
  <c r="E121" i="27"/>
  <c r="D124" i="22"/>
  <c r="E124" i="22"/>
  <c r="G123" i="22"/>
  <c r="G126" i="11"/>
  <c r="D127" i="11"/>
  <c r="E127" i="11"/>
  <c r="G124" i="3"/>
  <c r="E125" i="3"/>
  <c r="D125" i="3"/>
  <c r="D124" i="25"/>
  <c r="E124" i="25"/>
  <c r="G123" i="25"/>
  <c r="E123" i="23"/>
  <c r="D123" i="23"/>
  <c r="G122" i="23"/>
  <c r="B117" i="38"/>
  <c r="F117" i="38"/>
  <c r="J122" i="22"/>
  <c r="D128" i="7"/>
  <c r="G127" i="7"/>
  <c r="E128" i="7"/>
  <c r="D119" i="30"/>
  <c r="E119" i="30"/>
  <c r="G118" i="30"/>
  <c r="G124" i="5"/>
  <c r="D125" i="5"/>
  <c r="E125" i="5"/>
  <c r="G124" i="4"/>
  <c r="D125" i="4"/>
  <c r="E125" i="4"/>
  <c r="J115" i="45"/>
  <c r="F121" i="29"/>
  <c r="B121" i="29"/>
  <c r="H120" i="29"/>
  <c r="I120" i="29"/>
  <c r="J115" i="41"/>
  <c r="J119" i="31"/>
  <c r="B49" i="7"/>
  <c r="F49" i="7"/>
  <c r="H49" i="7" s="1"/>
  <c r="D42" i="29"/>
  <c r="E42" i="29"/>
  <c r="B46" i="4"/>
  <c r="F46" i="4"/>
  <c r="H46" i="4" s="1"/>
  <c r="B37" i="43"/>
  <c r="F37" i="43"/>
  <c r="G37" i="43" s="1"/>
  <c r="F43" i="23"/>
  <c r="B43" i="23"/>
  <c r="B48" i="10"/>
  <c r="F48" i="10"/>
  <c r="F39" i="30"/>
  <c r="H39" i="30" s="1"/>
  <c r="B39" i="30"/>
  <c r="F36" i="45"/>
  <c r="B36" i="45"/>
  <c r="D117" i="43"/>
  <c r="G116" i="43"/>
  <c r="E117" i="43"/>
  <c r="F38" i="13"/>
  <c r="B38" i="13"/>
  <c r="B46" i="3"/>
  <c r="F46" i="3"/>
  <c r="G46" i="3" s="1"/>
  <c r="B44" i="25"/>
  <c r="F44" i="25"/>
  <c r="G44" i="25" s="1"/>
  <c r="F37" i="40"/>
  <c r="G37" i="40" s="1"/>
  <c r="B37" i="40"/>
  <c r="D40" i="31"/>
  <c r="E40" i="31"/>
  <c r="F40" i="28"/>
  <c r="B40" i="28"/>
  <c r="B36" i="42"/>
  <c r="F36" i="42"/>
  <c r="G36" i="42" s="1"/>
  <c r="F37" i="41"/>
  <c r="B37" i="41"/>
  <c r="I36" i="41"/>
  <c r="B38" i="39"/>
  <c r="F38" i="39"/>
  <c r="G38" i="39" s="1"/>
  <c r="D117" i="45"/>
  <c r="E117" i="45" s="1"/>
  <c r="G116" i="45"/>
  <c r="F42" i="24"/>
  <c r="G42" i="24" s="1"/>
  <c r="B42" i="24"/>
  <c r="F46" i="5"/>
  <c r="B46" i="5"/>
  <c r="D117" i="41"/>
  <c r="G116" i="41"/>
  <c r="E117" i="41"/>
  <c r="E121" i="31"/>
  <c r="D121" i="31"/>
  <c r="G120" i="31"/>
  <c r="H116" i="39"/>
  <c r="I116" i="39"/>
  <c r="B37" i="37"/>
  <c r="F37" i="37"/>
  <c r="H37" i="37" s="1"/>
  <c r="B37" i="38"/>
  <c r="F37" i="38"/>
  <c r="H37" i="38" s="1"/>
  <c r="B46" i="8"/>
  <c r="F46" i="8"/>
  <c r="H46" i="8" s="1"/>
  <c r="H41" i="29"/>
  <c r="H39" i="31"/>
  <c r="I39" i="31" s="1"/>
  <c r="J117" i="13"/>
  <c r="G118" i="13"/>
  <c r="D119" i="13"/>
  <c r="F117" i="39"/>
  <c r="B117" i="39"/>
  <c r="F44" i="22"/>
  <c r="B44" i="22"/>
  <c r="B48" i="11"/>
  <c r="F48" i="11"/>
  <c r="G41" i="29"/>
  <c r="H37" i="43" l="1"/>
  <c r="G117" i="42"/>
  <c r="D118" i="42"/>
  <c r="H38" i="39"/>
  <c r="I38" i="39" s="1"/>
  <c r="J116" i="42"/>
  <c r="H46" i="3"/>
  <c r="J116" i="38"/>
  <c r="I41" i="29"/>
  <c r="G39" i="30"/>
  <c r="I116" i="44"/>
  <c r="J116" i="44" s="1"/>
  <c r="H116" i="44"/>
  <c r="E117" i="44"/>
  <c r="B117" i="44"/>
  <c r="F117" i="44"/>
  <c r="B41" i="27"/>
  <c r="F41" i="27"/>
  <c r="H41" i="27" s="1"/>
  <c r="H36" i="44"/>
  <c r="I36" i="44" s="1"/>
  <c r="E37" i="44"/>
  <c r="D37" i="44"/>
  <c r="G37" i="38"/>
  <c r="I37" i="38" s="1"/>
  <c r="G46" i="4"/>
  <c r="H48" i="9"/>
  <c r="B48" i="9"/>
  <c r="F48" i="9"/>
  <c r="G48" i="9" s="1"/>
  <c r="G46" i="6"/>
  <c r="I46" i="6" s="1"/>
  <c r="E47" i="6"/>
  <c r="D47" i="6"/>
  <c r="I46" i="3"/>
  <c r="I46" i="4"/>
  <c r="H37" i="40"/>
  <c r="H124" i="4"/>
  <c r="I124" i="4"/>
  <c r="I118" i="30"/>
  <c r="J118" i="30" s="1"/>
  <c r="H118" i="30"/>
  <c r="I127" i="7"/>
  <c r="J127" i="7" s="1"/>
  <c r="H127" i="7"/>
  <c r="H123" i="25"/>
  <c r="I123" i="25"/>
  <c r="H126" i="11"/>
  <c r="I126" i="11"/>
  <c r="H125" i="8"/>
  <c r="I125" i="8"/>
  <c r="J125" i="8" s="1"/>
  <c r="B128" i="7"/>
  <c r="F128" i="7"/>
  <c r="I122" i="23"/>
  <c r="J122" i="23" s="1"/>
  <c r="H122" i="23"/>
  <c r="I124" i="3"/>
  <c r="J124" i="3" s="1"/>
  <c r="H124" i="3"/>
  <c r="H123" i="22"/>
  <c r="I123" i="22"/>
  <c r="J123" i="22" s="1"/>
  <c r="B121" i="27"/>
  <c r="F121" i="27"/>
  <c r="I116" i="40"/>
  <c r="H116" i="40"/>
  <c r="I126" i="9"/>
  <c r="J126" i="9" s="1"/>
  <c r="H126" i="9"/>
  <c r="F120" i="28"/>
  <c r="B120" i="28"/>
  <c r="F122" i="24"/>
  <c r="B122" i="24"/>
  <c r="B117" i="37"/>
  <c r="F117" i="37"/>
  <c r="F125" i="5"/>
  <c r="B125" i="5"/>
  <c r="B119" i="30"/>
  <c r="F119" i="30"/>
  <c r="B123" i="23"/>
  <c r="F123" i="23"/>
  <c r="B124" i="25"/>
  <c r="F124" i="25"/>
  <c r="H120" i="27"/>
  <c r="I120" i="27"/>
  <c r="I125" i="6"/>
  <c r="J125" i="6" s="1"/>
  <c r="H125" i="6"/>
  <c r="B127" i="9"/>
  <c r="F127" i="9"/>
  <c r="I119" i="28"/>
  <c r="J119" i="28" s="1"/>
  <c r="H119" i="28"/>
  <c r="F128" i="10"/>
  <c r="B128" i="10"/>
  <c r="I116" i="37"/>
  <c r="H116" i="37"/>
  <c r="B126" i="8"/>
  <c r="F126" i="8"/>
  <c r="F125" i="4"/>
  <c r="B125" i="4"/>
  <c r="I124" i="5"/>
  <c r="H124" i="5"/>
  <c r="G117" i="38"/>
  <c r="E118" i="38"/>
  <c r="D118" i="38"/>
  <c r="B125" i="3"/>
  <c r="F125" i="3"/>
  <c r="B127" i="11"/>
  <c r="F127" i="11"/>
  <c r="F124" i="22"/>
  <c r="B124" i="22"/>
  <c r="B126" i="6"/>
  <c r="F126" i="6"/>
  <c r="F117" i="40"/>
  <c r="B117" i="40"/>
  <c r="I121" i="24"/>
  <c r="J121" i="24" s="1"/>
  <c r="H121" i="24"/>
  <c r="I127" i="10"/>
  <c r="H127" i="10"/>
  <c r="G121" i="29"/>
  <c r="D122" i="29"/>
  <c r="E122" i="29"/>
  <c r="J120" i="29"/>
  <c r="J116" i="39"/>
  <c r="D47" i="5"/>
  <c r="E47" i="5"/>
  <c r="D41" i="28"/>
  <c r="E41" i="28"/>
  <c r="D44" i="23"/>
  <c r="E44" i="23"/>
  <c r="E49" i="11"/>
  <c r="D49" i="11"/>
  <c r="F117" i="41"/>
  <c r="B117" i="41"/>
  <c r="D39" i="13"/>
  <c r="E39" i="13" s="1"/>
  <c r="H43" i="23"/>
  <c r="G117" i="39"/>
  <c r="E118" i="39"/>
  <c r="D118" i="39"/>
  <c r="G46" i="8"/>
  <c r="I46" i="8" s="1"/>
  <c r="E38" i="41"/>
  <c r="D38" i="41"/>
  <c r="B40" i="31"/>
  <c r="F40" i="31"/>
  <c r="G40" i="31" s="1"/>
  <c r="D47" i="3"/>
  <c r="E47" i="3"/>
  <c r="G38" i="13"/>
  <c r="D49" i="10"/>
  <c r="E49" i="10"/>
  <c r="H48" i="11"/>
  <c r="E43" i="24"/>
  <c r="D43" i="24"/>
  <c r="G37" i="41"/>
  <c r="I37" i="40"/>
  <c r="I37" i="43"/>
  <c r="G48" i="11"/>
  <c r="H120" i="31"/>
  <c r="I120" i="31"/>
  <c r="H42" i="24"/>
  <c r="I42" i="24" s="1"/>
  <c r="D39" i="39"/>
  <c r="E39" i="39"/>
  <c r="H37" i="41"/>
  <c r="I37" i="41" s="1"/>
  <c r="H116" i="43"/>
  <c r="I116" i="43"/>
  <c r="G48" i="10"/>
  <c r="E38" i="43"/>
  <c r="D38" i="43"/>
  <c r="E47" i="8"/>
  <c r="D47" i="8"/>
  <c r="D45" i="22"/>
  <c r="E45" i="22"/>
  <c r="B119" i="13"/>
  <c r="B121" i="31"/>
  <c r="F121" i="31"/>
  <c r="D45" i="25"/>
  <c r="E45" i="25"/>
  <c r="H48" i="10"/>
  <c r="I116" i="45"/>
  <c r="H116" i="45"/>
  <c r="I39" i="30"/>
  <c r="D50" i="7"/>
  <c r="E50" i="7"/>
  <c r="D38" i="37"/>
  <c r="E38" i="37"/>
  <c r="I116" i="41"/>
  <c r="H116" i="41"/>
  <c r="D37" i="42"/>
  <c r="E37" i="42"/>
  <c r="E37" i="45"/>
  <c r="D37" i="45"/>
  <c r="F42" i="29"/>
  <c r="H42" i="29" s="1"/>
  <c r="B42" i="29"/>
  <c r="G42" i="29"/>
  <c r="D47" i="4"/>
  <c r="E47" i="4"/>
  <c r="H44" i="22"/>
  <c r="H46" i="5"/>
  <c r="B117" i="43"/>
  <c r="F117" i="43"/>
  <c r="G36" i="45"/>
  <c r="I118" i="13"/>
  <c r="H118" i="13"/>
  <c r="E38" i="38"/>
  <c r="D38" i="38"/>
  <c r="H40" i="28"/>
  <c r="E38" i="40"/>
  <c r="D38" i="40"/>
  <c r="H44" i="25"/>
  <c r="I44" i="25" s="1"/>
  <c r="G44" i="22"/>
  <c r="E119" i="13"/>
  <c r="F119" i="13" s="1"/>
  <c r="G37" i="37"/>
  <c r="I37" i="37" s="1"/>
  <c r="G46" i="5"/>
  <c r="B117" i="45"/>
  <c r="F117" i="45"/>
  <c r="H36" i="42"/>
  <c r="I36" i="42" s="1"/>
  <c r="G40" i="28"/>
  <c r="H38" i="13"/>
  <c r="I38" i="13" s="1"/>
  <c r="H36" i="45"/>
  <c r="D40" i="30"/>
  <c r="E40" i="30"/>
  <c r="G43" i="23"/>
  <c r="G49" i="7"/>
  <c r="I49" i="7" s="1"/>
  <c r="E118" i="42" l="1"/>
  <c r="B118" i="42"/>
  <c r="F118" i="42"/>
  <c r="I48" i="11"/>
  <c r="J116" i="37"/>
  <c r="H117" i="42"/>
  <c r="I117" i="42"/>
  <c r="J117" i="42" s="1"/>
  <c r="I48" i="9"/>
  <c r="D118" i="44"/>
  <c r="B118" i="44" s="1"/>
  <c r="G117" i="44"/>
  <c r="E118" i="44"/>
  <c r="F118" i="44" s="1"/>
  <c r="D119" i="44" s="1"/>
  <c r="F37" i="44"/>
  <c r="G37" i="44" s="1"/>
  <c r="B37" i="44"/>
  <c r="G41" i="27"/>
  <c r="I41" i="27" s="1"/>
  <c r="E42" i="27"/>
  <c r="D42" i="27"/>
  <c r="I44" i="22"/>
  <c r="H40" i="31"/>
  <c r="I40" i="31" s="1"/>
  <c r="B47" i="6"/>
  <c r="F47" i="6"/>
  <c r="E49" i="9"/>
  <c r="D49" i="9"/>
  <c r="D125" i="25"/>
  <c r="E125" i="25"/>
  <c r="G124" i="25"/>
  <c r="D120" i="30"/>
  <c r="E120" i="30"/>
  <c r="G119" i="30"/>
  <c r="G117" i="37"/>
  <c r="D118" i="37"/>
  <c r="E118" i="37"/>
  <c r="J123" i="25"/>
  <c r="E126" i="3"/>
  <c r="G125" i="3"/>
  <c r="D126" i="3"/>
  <c r="H117" i="38"/>
  <c r="I117" i="38"/>
  <c r="G125" i="4"/>
  <c r="D126" i="4"/>
  <c r="E126" i="4"/>
  <c r="G120" i="28"/>
  <c r="E121" i="28"/>
  <c r="D121" i="28"/>
  <c r="J116" i="40"/>
  <c r="J116" i="45"/>
  <c r="J127" i="10"/>
  <c r="D118" i="40"/>
  <c r="G117" i="40"/>
  <c r="E118" i="40"/>
  <c r="D125" i="22"/>
  <c r="G124" i="22"/>
  <c r="E125" i="22"/>
  <c r="G126" i="8"/>
  <c r="E127" i="8"/>
  <c r="D127" i="8"/>
  <c r="E128" i="9"/>
  <c r="D128" i="9"/>
  <c r="G127" i="9"/>
  <c r="J120" i="27"/>
  <c r="E124" i="23"/>
  <c r="G123" i="23"/>
  <c r="D124" i="23"/>
  <c r="D122" i="27"/>
  <c r="G121" i="27"/>
  <c r="E122" i="27"/>
  <c r="G128" i="7"/>
  <c r="E129" i="7"/>
  <c r="D129" i="7"/>
  <c r="J126" i="11"/>
  <c r="J124" i="4"/>
  <c r="E127" i="6"/>
  <c r="D127" i="6"/>
  <c r="G126" i="6"/>
  <c r="E128" i="11"/>
  <c r="G127" i="11"/>
  <c r="D128" i="11"/>
  <c r="B118" i="38"/>
  <c r="F118" i="38"/>
  <c r="J124" i="5"/>
  <c r="D129" i="10"/>
  <c r="E129" i="10"/>
  <c r="G128" i="10"/>
  <c r="G125" i="5"/>
  <c r="E126" i="5"/>
  <c r="D126" i="5"/>
  <c r="E123" i="24"/>
  <c r="D123" i="24"/>
  <c r="G122" i="24"/>
  <c r="J118" i="13"/>
  <c r="B122" i="29"/>
  <c r="F122" i="29"/>
  <c r="I121" i="29"/>
  <c r="H121" i="29"/>
  <c r="G119" i="13"/>
  <c r="D120" i="13"/>
  <c r="E120" i="13" s="1"/>
  <c r="F47" i="8"/>
  <c r="H47" i="8" s="1"/>
  <c r="B47" i="8"/>
  <c r="J116" i="41"/>
  <c r="B40" i="30"/>
  <c r="F40" i="30"/>
  <c r="G40" i="30" s="1"/>
  <c r="I40" i="28"/>
  <c r="F39" i="39"/>
  <c r="G39" i="39" s="1"/>
  <c r="B39" i="39"/>
  <c r="I43" i="23"/>
  <c r="F44" i="23"/>
  <c r="G44" i="23" s="1"/>
  <c r="H44" i="23"/>
  <c r="B44" i="23"/>
  <c r="I36" i="45"/>
  <c r="G117" i="45"/>
  <c r="D118" i="45"/>
  <c r="E118" i="45" s="1"/>
  <c r="D43" i="29"/>
  <c r="E43" i="29"/>
  <c r="B38" i="37"/>
  <c r="F38" i="37"/>
  <c r="G38" i="37" s="1"/>
  <c r="I48" i="10"/>
  <c r="D41" i="31"/>
  <c r="E41" i="31"/>
  <c r="D118" i="43"/>
  <c r="G117" i="43"/>
  <c r="E118" i="43"/>
  <c r="I42" i="29"/>
  <c r="I46" i="5"/>
  <c r="B47" i="4"/>
  <c r="F47" i="4"/>
  <c r="G47" i="4" s="1"/>
  <c r="F37" i="45"/>
  <c r="G37" i="45" s="1"/>
  <c r="B37" i="45"/>
  <c r="J116" i="43"/>
  <c r="F39" i="13"/>
  <c r="G39" i="13" s="1"/>
  <c r="B39" i="13"/>
  <c r="B41" i="28"/>
  <c r="F41" i="28"/>
  <c r="H41" i="28" s="1"/>
  <c r="F43" i="24"/>
  <c r="B43" i="24"/>
  <c r="J120" i="31"/>
  <c r="B47" i="3"/>
  <c r="F47" i="3"/>
  <c r="H47" i="3" s="1"/>
  <c r="F118" i="39"/>
  <c r="B118" i="39"/>
  <c r="D118" i="41"/>
  <c r="G117" i="41"/>
  <c r="E118" i="41"/>
  <c r="B47" i="5"/>
  <c r="F47" i="5"/>
  <c r="H47" i="5" s="1"/>
  <c r="B38" i="38"/>
  <c r="F38" i="38"/>
  <c r="H38" i="38" s="1"/>
  <c r="G38" i="38"/>
  <c r="B37" i="42"/>
  <c r="F37" i="42"/>
  <c r="H37" i="42" s="1"/>
  <c r="B50" i="7"/>
  <c r="F50" i="7"/>
  <c r="H50" i="7" s="1"/>
  <c r="B45" i="25"/>
  <c r="F45" i="25"/>
  <c r="H45" i="25" s="1"/>
  <c r="F45" i="22"/>
  <c r="G45" i="22" s="1"/>
  <c r="B45" i="22"/>
  <c r="F38" i="43"/>
  <c r="G38" i="43" s="1"/>
  <c r="B38" i="43"/>
  <c r="B49" i="10"/>
  <c r="F49" i="10"/>
  <c r="G49" i="10" s="1"/>
  <c r="F38" i="41"/>
  <c r="B38" i="41"/>
  <c r="F49" i="11"/>
  <c r="H49" i="11" s="1"/>
  <c r="B49" i="11"/>
  <c r="E122" i="31"/>
  <c r="D122" i="31"/>
  <c r="G121" i="31"/>
  <c r="I117" i="39"/>
  <c r="H117" i="39"/>
  <c r="F38" i="40"/>
  <c r="G38" i="40" s="1"/>
  <c r="B38" i="40"/>
  <c r="D119" i="42" l="1"/>
  <c r="G118" i="42"/>
  <c r="I38" i="38"/>
  <c r="J117" i="38"/>
  <c r="I44" i="23"/>
  <c r="I117" i="44"/>
  <c r="H117" i="44"/>
  <c r="G49" i="11"/>
  <c r="G118" i="44"/>
  <c r="G45" i="25"/>
  <c r="H49" i="10"/>
  <c r="H38" i="43"/>
  <c r="I38" i="43" s="1"/>
  <c r="H45" i="22"/>
  <c r="G47" i="6"/>
  <c r="E48" i="6"/>
  <c r="D48" i="6"/>
  <c r="F42" i="27"/>
  <c r="G42" i="27" s="1"/>
  <c r="B42" i="27"/>
  <c r="H38" i="40"/>
  <c r="I38" i="40" s="1"/>
  <c r="G50" i="7"/>
  <c r="I50" i="7" s="1"/>
  <c r="H39" i="13"/>
  <c r="I39" i="13" s="1"/>
  <c r="H38" i="37"/>
  <c r="I38" i="37" s="1"/>
  <c r="H40" i="30"/>
  <c r="I40" i="30" s="1"/>
  <c r="G47" i="8"/>
  <c r="I47" i="8" s="1"/>
  <c r="B49" i="9"/>
  <c r="F49" i="9"/>
  <c r="H49" i="9" s="1"/>
  <c r="I45" i="22"/>
  <c r="G41" i="28"/>
  <c r="E38" i="44"/>
  <c r="D38" i="44"/>
  <c r="G47" i="3"/>
  <c r="I47" i="3" s="1"/>
  <c r="I41" i="28"/>
  <c r="H37" i="45"/>
  <c r="I37" i="45" s="1"/>
  <c r="H47" i="6"/>
  <c r="I47" i="6" s="1"/>
  <c r="H37" i="44"/>
  <c r="I37" i="44" s="1"/>
  <c r="I128" i="10"/>
  <c r="J128" i="10" s="1"/>
  <c r="H128" i="10"/>
  <c r="D119" i="38"/>
  <c r="G118" i="38"/>
  <c r="E119" i="38"/>
  <c r="H128" i="7"/>
  <c r="I128" i="7"/>
  <c r="J128" i="7" s="1"/>
  <c r="B124" i="23"/>
  <c r="F124" i="23"/>
  <c r="I127" i="9"/>
  <c r="H127" i="9"/>
  <c r="B125" i="22"/>
  <c r="F125" i="22"/>
  <c r="I125" i="4"/>
  <c r="H125" i="4"/>
  <c r="H125" i="3"/>
  <c r="I125" i="3"/>
  <c r="B118" i="37"/>
  <c r="F118" i="37"/>
  <c r="B120" i="30"/>
  <c r="F120" i="30"/>
  <c r="F126" i="5"/>
  <c r="B126" i="5"/>
  <c r="I126" i="6"/>
  <c r="J126" i="6" s="1"/>
  <c r="H126" i="6"/>
  <c r="H123" i="23"/>
  <c r="I123" i="23"/>
  <c r="J123" i="23" s="1"/>
  <c r="B128" i="9"/>
  <c r="F128" i="9"/>
  <c r="H126" i="8"/>
  <c r="I126" i="8"/>
  <c r="J126" i="8" s="1"/>
  <c r="H120" i="28"/>
  <c r="I120" i="28"/>
  <c r="H117" i="37"/>
  <c r="I117" i="37"/>
  <c r="I124" i="25"/>
  <c r="J124" i="25" s="1"/>
  <c r="H124" i="25"/>
  <c r="H122" i="24"/>
  <c r="I122" i="24"/>
  <c r="J122" i="24" s="1"/>
  <c r="B129" i="10"/>
  <c r="F129" i="10"/>
  <c r="B128" i="11"/>
  <c r="F128" i="11"/>
  <c r="F127" i="6"/>
  <c r="B127" i="6"/>
  <c r="F129" i="7"/>
  <c r="B129" i="7"/>
  <c r="H121" i="27"/>
  <c r="I121" i="27"/>
  <c r="H117" i="40"/>
  <c r="I117" i="40"/>
  <c r="I119" i="30"/>
  <c r="J119" i="30" s="1"/>
  <c r="H119" i="30"/>
  <c r="F123" i="24"/>
  <c r="B123" i="24"/>
  <c r="I125" i="5"/>
  <c r="J125" i="5" s="1"/>
  <c r="H125" i="5"/>
  <c r="I127" i="11"/>
  <c r="H127" i="11"/>
  <c r="F122" i="27"/>
  <c r="B122" i="27"/>
  <c r="F127" i="8"/>
  <c r="B127" i="8"/>
  <c r="H124" i="22"/>
  <c r="I124" i="22"/>
  <c r="J124" i="22" s="1"/>
  <c r="B118" i="40"/>
  <c r="F118" i="40"/>
  <c r="B121" i="28"/>
  <c r="F121" i="28"/>
  <c r="B126" i="4"/>
  <c r="F126" i="4"/>
  <c r="F126" i="3"/>
  <c r="B126" i="3"/>
  <c r="F125" i="25"/>
  <c r="B125" i="25"/>
  <c r="J121" i="29"/>
  <c r="E123" i="29"/>
  <c r="D123" i="29"/>
  <c r="G122" i="29"/>
  <c r="J117" i="39"/>
  <c r="D39" i="41"/>
  <c r="E39" i="41"/>
  <c r="D48" i="5"/>
  <c r="E48" i="5"/>
  <c r="B118" i="45"/>
  <c r="F118" i="45"/>
  <c r="I45" i="25"/>
  <c r="H121" i="31"/>
  <c r="I121" i="31"/>
  <c r="I49" i="11"/>
  <c r="D40" i="13"/>
  <c r="E40" i="13"/>
  <c r="H117" i="43"/>
  <c r="I117" i="43"/>
  <c r="B43" i="29"/>
  <c r="F43" i="29"/>
  <c r="H43" i="29" s="1"/>
  <c r="D40" i="39"/>
  <c r="E40" i="39"/>
  <c r="I119" i="13"/>
  <c r="H119" i="13"/>
  <c r="D39" i="40"/>
  <c r="E39" i="40"/>
  <c r="F122" i="31"/>
  <c r="B122" i="31"/>
  <c r="D50" i="11"/>
  <c r="E50" i="11"/>
  <c r="D46" i="22"/>
  <c r="E46" i="22"/>
  <c r="D51" i="7"/>
  <c r="E51" i="7"/>
  <c r="E39" i="38"/>
  <c r="D39" i="38"/>
  <c r="I117" i="41"/>
  <c r="H117" i="41"/>
  <c r="F118" i="43"/>
  <c r="B118" i="43"/>
  <c r="H39" i="39"/>
  <c r="I39" i="39" s="1"/>
  <c r="D41" i="30"/>
  <c r="E41" i="30"/>
  <c r="D48" i="8"/>
  <c r="E48" i="8"/>
  <c r="D44" i="24"/>
  <c r="E44" i="24"/>
  <c r="D48" i="4"/>
  <c r="E48" i="4"/>
  <c r="G43" i="24"/>
  <c r="B118" i="41"/>
  <c r="F118" i="41"/>
  <c r="B119" i="44"/>
  <c r="I49" i="10"/>
  <c r="H47" i="4"/>
  <c r="I47" i="4" s="1"/>
  <c r="B120" i="13"/>
  <c r="F120" i="13"/>
  <c r="G38" i="41"/>
  <c r="D48" i="3"/>
  <c r="E48" i="3"/>
  <c r="D42" i="28"/>
  <c r="E42" i="28"/>
  <c r="H118" i="44"/>
  <c r="I118" i="44"/>
  <c r="H38" i="41"/>
  <c r="D46" i="25"/>
  <c r="E46" i="25"/>
  <c r="G47" i="5"/>
  <c r="I47" i="5" s="1"/>
  <c r="G118" i="39"/>
  <c r="D119" i="39"/>
  <c r="E119" i="39"/>
  <c r="H43" i="24"/>
  <c r="D38" i="45"/>
  <c r="E38" i="45"/>
  <c r="B41" i="31"/>
  <c r="F41" i="31"/>
  <c r="H41" i="31" s="1"/>
  <c r="E39" i="37"/>
  <c r="D39" i="37"/>
  <c r="E45" i="23"/>
  <c r="D45" i="23"/>
  <c r="E119" i="44"/>
  <c r="F119" i="44" s="1"/>
  <c r="D38" i="42"/>
  <c r="E38" i="42"/>
  <c r="D50" i="10"/>
  <c r="E50" i="10"/>
  <c r="D39" i="43"/>
  <c r="E39" i="43"/>
  <c r="G37" i="42"/>
  <c r="I37" i="42" s="1"/>
  <c r="I117" i="45"/>
  <c r="H117" i="45"/>
  <c r="J117" i="44" l="1"/>
  <c r="I118" i="42"/>
  <c r="J118" i="42" s="1"/>
  <c r="H118" i="42"/>
  <c r="H42" i="27"/>
  <c r="E119" i="42"/>
  <c r="F119" i="42"/>
  <c r="B119" i="42"/>
  <c r="I42" i="27"/>
  <c r="J117" i="37"/>
  <c r="B38" i="44"/>
  <c r="F38" i="44"/>
  <c r="H38" i="44" s="1"/>
  <c r="E43" i="27"/>
  <c r="D43" i="27"/>
  <c r="D50" i="9"/>
  <c r="E50" i="9"/>
  <c r="B48" i="6"/>
  <c r="F48" i="6"/>
  <c r="G49" i="9"/>
  <c r="I49" i="9" s="1"/>
  <c r="E127" i="4"/>
  <c r="G126" i="4"/>
  <c r="D127" i="4"/>
  <c r="E119" i="40"/>
  <c r="D119" i="40"/>
  <c r="G118" i="40"/>
  <c r="J117" i="40"/>
  <c r="E129" i="11"/>
  <c r="D129" i="11"/>
  <c r="G128" i="11"/>
  <c r="I118" i="38"/>
  <c r="H118" i="38"/>
  <c r="J117" i="41"/>
  <c r="J121" i="31"/>
  <c r="G125" i="25"/>
  <c r="D126" i="25"/>
  <c r="E126" i="25"/>
  <c r="G127" i="8"/>
  <c r="D128" i="8"/>
  <c r="E128" i="8"/>
  <c r="J127" i="11"/>
  <c r="D124" i="24"/>
  <c r="E124" i="24"/>
  <c r="G123" i="24"/>
  <c r="D130" i="7"/>
  <c r="G129" i="7"/>
  <c r="E130" i="7"/>
  <c r="D119" i="37"/>
  <c r="G118" i="37"/>
  <c r="E119" i="37"/>
  <c r="B119" i="38"/>
  <c r="F119" i="38"/>
  <c r="E122" i="28"/>
  <c r="D122" i="28"/>
  <c r="G121" i="28"/>
  <c r="J121" i="27"/>
  <c r="E130" i="10"/>
  <c r="G129" i="10"/>
  <c r="D130" i="10"/>
  <c r="D127" i="5"/>
  <c r="G126" i="5"/>
  <c r="E127" i="5"/>
  <c r="J125" i="4"/>
  <c r="J127" i="9"/>
  <c r="E127" i="3"/>
  <c r="D127" i="3"/>
  <c r="G126" i="3"/>
  <c r="E123" i="27"/>
  <c r="D123" i="27"/>
  <c r="G122" i="27"/>
  <c r="E128" i="6"/>
  <c r="G127" i="6"/>
  <c r="D128" i="6"/>
  <c r="J120" i="28"/>
  <c r="G128" i="9"/>
  <c r="E129" i="9"/>
  <c r="D129" i="9"/>
  <c r="E121" i="30"/>
  <c r="G120" i="30"/>
  <c r="D121" i="30"/>
  <c r="J125" i="3"/>
  <c r="G125" i="22"/>
  <c r="E126" i="22"/>
  <c r="D126" i="22"/>
  <c r="D125" i="23"/>
  <c r="G124" i="23"/>
  <c r="E125" i="23"/>
  <c r="I122" i="29"/>
  <c r="H122" i="29"/>
  <c r="J117" i="45"/>
  <c r="B123" i="29"/>
  <c r="F123" i="29"/>
  <c r="J117" i="43"/>
  <c r="D120" i="44"/>
  <c r="E120" i="44" s="1"/>
  <c r="G119" i="44"/>
  <c r="F39" i="43"/>
  <c r="G39" i="43" s="1"/>
  <c r="B39" i="43"/>
  <c r="G118" i="41"/>
  <c r="D119" i="41"/>
  <c r="E119" i="41"/>
  <c r="B50" i="10"/>
  <c r="F50" i="10"/>
  <c r="G50" i="10" s="1"/>
  <c r="I38" i="41"/>
  <c r="B51" i="7"/>
  <c r="F51" i="7"/>
  <c r="G51" i="7" s="1"/>
  <c r="B39" i="40"/>
  <c r="F39" i="40"/>
  <c r="G39" i="40" s="1"/>
  <c r="F41" i="30"/>
  <c r="H41" i="30" s="1"/>
  <c r="B41" i="30"/>
  <c r="G118" i="45"/>
  <c r="D119" i="45"/>
  <c r="E119" i="45" s="1"/>
  <c r="G41" i="31"/>
  <c r="I41" i="31" s="1"/>
  <c r="F119" i="39"/>
  <c r="B119" i="39"/>
  <c r="F48" i="4"/>
  <c r="H48" i="4" s="1"/>
  <c r="B48" i="4"/>
  <c r="F38" i="42"/>
  <c r="B38" i="42"/>
  <c r="I118" i="39"/>
  <c r="H118" i="39"/>
  <c r="G120" i="13"/>
  <c r="D121" i="13"/>
  <c r="E121" i="13" s="1"/>
  <c r="B48" i="8"/>
  <c r="F48" i="8"/>
  <c r="F39" i="38"/>
  <c r="G39" i="38" s="1"/>
  <c r="B39" i="38"/>
  <c r="F46" i="22"/>
  <c r="G46" i="22" s="1"/>
  <c r="B46" i="22"/>
  <c r="J119" i="13"/>
  <c r="F50" i="11"/>
  <c r="G50" i="11" s="1"/>
  <c r="B50" i="11"/>
  <c r="B39" i="37"/>
  <c r="F39" i="37"/>
  <c r="H39" i="37" s="1"/>
  <c r="B38" i="45"/>
  <c r="F38" i="45"/>
  <c r="H38" i="45" s="1"/>
  <c r="J118" i="44"/>
  <c r="B48" i="3"/>
  <c r="F48" i="3"/>
  <c r="H48" i="3" s="1"/>
  <c r="G118" i="43"/>
  <c r="D119" i="43"/>
  <c r="E119" i="43"/>
  <c r="F48" i="5"/>
  <c r="G48" i="5" s="1"/>
  <c r="B48" i="5"/>
  <c r="D42" i="31"/>
  <c r="E42" i="31"/>
  <c r="B40" i="39"/>
  <c r="F40" i="39"/>
  <c r="G40" i="39"/>
  <c r="F40" i="13"/>
  <c r="G40" i="13" s="1"/>
  <c r="B40" i="13"/>
  <c r="B39" i="41"/>
  <c r="F39" i="41"/>
  <c r="H39" i="41" s="1"/>
  <c r="F44" i="24"/>
  <c r="H44" i="24" s="1"/>
  <c r="B44" i="24"/>
  <c r="E123" i="31"/>
  <c r="D123" i="31"/>
  <c r="G122" i="31"/>
  <c r="D44" i="29"/>
  <c r="E44" i="29"/>
  <c r="B45" i="23"/>
  <c r="F45" i="23"/>
  <c r="H45" i="23" s="1"/>
  <c r="I43" i="24"/>
  <c r="B46" i="25"/>
  <c r="F46" i="25"/>
  <c r="H46" i="25" s="1"/>
  <c r="B42" i="28"/>
  <c r="F42" i="28"/>
  <c r="H42" i="28" s="1"/>
  <c r="G43" i="29"/>
  <c r="I43" i="29" s="1"/>
  <c r="H50" i="10" l="1"/>
  <c r="G38" i="44"/>
  <c r="G119" i="42"/>
  <c r="D120" i="42"/>
  <c r="G44" i="24"/>
  <c r="I44" i="24" s="1"/>
  <c r="G39" i="41"/>
  <c r="I39" i="41" s="1"/>
  <c r="H46" i="22"/>
  <c r="I46" i="22" s="1"/>
  <c r="G42" i="28"/>
  <c r="I42" i="28" s="1"/>
  <c r="G38" i="45"/>
  <c r="I38" i="45" s="1"/>
  <c r="G39" i="37"/>
  <c r="I39" i="37" s="1"/>
  <c r="H39" i="40"/>
  <c r="I39" i="40" s="1"/>
  <c r="H39" i="43"/>
  <c r="D49" i="6"/>
  <c r="E49" i="6"/>
  <c r="F43" i="27"/>
  <c r="H43" i="27" s="1"/>
  <c r="B43" i="27"/>
  <c r="H40" i="13"/>
  <c r="G48" i="3"/>
  <c r="I48" i="3" s="1"/>
  <c r="G41" i="30"/>
  <c r="J118" i="38"/>
  <c r="H48" i="6"/>
  <c r="I38" i="44"/>
  <c r="G48" i="6"/>
  <c r="B50" i="9"/>
  <c r="F50" i="9"/>
  <c r="H50" i="9" s="1"/>
  <c r="E39" i="44"/>
  <c r="D39" i="44"/>
  <c r="J122" i="29"/>
  <c r="F126" i="22"/>
  <c r="B126" i="22"/>
  <c r="B121" i="30"/>
  <c r="F121" i="30"/>
  <c r="I127" i="6"/>
  <c r="H127" i="6"/>
  <c r="B127" i="5"/>
  <c r="F127" i="5"/>
  <c r="E120" i="38"/>
  <c r="D120" i="38"/>
  <c r="G119" i="38"/>
  <c r="B119" i="37"/>
  <c r="F119" i="37"/>
  <c r="I123" i="24"/>
  <c r="J123" i="24" s="1"/>
  <c r="H123" i="24"/>
  <c r="B126" i="25"/>
  <c r="F126" i="25"/>
  <c r="I120" i="30"/>
  <c r="J120" i="30" s="1"/>
  <c r="H120" i="30"/>
  <c r="I128" i="9"/>
  <c r="H128" i="9"/>
  <c r="I126" i="3"/>
  <c r="J126" i="3" s="1"/>
  <c r="H126" i="3"/>
  <c r="F130" i="10"/>
  <c r="B130" i="10"/>
  <c r="H121" i="28"/>
  <c r="I121" i="28"/>
  <c r="F128" i="8"/>
  <c r="B128" i="8"/>
  <c r="H125" i="25"/>
  <c r="I125" i="25"/>
  <c r="F127" i="4"/>
  <c r="B127" i="4"/>
  <c r="I124" i="23"/>
  <c r="J124" i="23" s="1"/>
  <c r="H124" i="23"/>
  <c r="I125" i="22"/>
  <c r="H125" i="22"/>
  <c r="H122" i="27"/>
  <c r="I122" i="27"/>
  <c r="B127" i="3"/>
  <c r="F127" i="3"/>
  <c r="I129" i="10"/>
  <c r="J129" i="10" s="1"/>
  <c r="H129" i="10"/>
  <c r="F122" i="28"/>
  <c r="B122" i="28"/>
  <c r="H129" i="7"/>
  <c r="I129" i="7"/>
  <c r="F124" i="24"/>
  <c r="B124" i="24"/>
  <c r="I127" i="8"/>
  <c r="J127" i="8" s="1"/>
  <c r="H127" i="8"/>
  <c r="H128" i="11"/>
  <c r="I128" i="11"/>
  <c r="J128" i="11" s="1"/>
  <c r="I118" i="40"/>
  <c r="H118" i="40"/>
  <c r="H126" i="4"/>
  <c r="I126" i="4"/>
  <c r="J126" i="4" s="1"/>
  <c r="F125" i="23"/>
  <c r="B125" i="23"/>
  <c r="B129" i="9"/>
  <c r="F129" i="9"/>
  <c r="B128" i="6"/>
  <c r="F128" i="6"/>
  <c r="F123" i="27"/>
  <c r="B123" i="27"/>
  <c r="I126" i="5"/>
  <c r="J126" i="5" s="1"/>
  <c r="H126" i="5"/>
  <c r="I118" i="37"/>
  <c r="H118" i="37"/>
  <c r="F130" i="7"/>
  <c r="B130" i="7"/>
  <c r="B129" i="11"/>
  <c r="F129" i="11"/>
  <c r="F119" i="40"/>
  <c r="B119" i="40"/>
  <c r="E124" i="29"/>
  <c r="D124" i="29"/>
  <c r="G123" i="29"/>
  <c r="I122" i="31"/>
  <c r="H122" i="31"/>
  <c r="H50" i="11"/>
  <c r="I50" i="11" s="1"/>
  <c r="D49" i="5"/>
  <c r="E49" i="5"/>
  <c r="B42" i="31"/>
  <c r="F42" i="31"/>
  <c r="H42" i="31" s="1"/>
  <c r="D49" i="3"/>
  <c r="E49" i="3"/>
  <c r="D49" i="4"/>
  <c r="E49" i="4"/>
  <c r="I41" i="30"/>
  <c r="I50" i="10"/>
  <c r="I120" i="13"/>
  <c r="H120" i="13"/>
  <c r="D41" i="39"/>
  <c r="E41" i="39"/>
  <c r="D43" i="28"/>
  <c r="E43" i="28"/>
  <c r="H48" i="5"/>
  <c r="I48" i="5" s="1"/>
  <c r="I73" i="5" s="1"/>
  <c r="E40" i="38"/>
  <c r="D40" i="38"/>
  <c r="D42" i="30"/>
  <c r="E42" i="30"/>
  <c r="D51" i="10"/>
  <c r="E51" i="10"/>
  <c r="D49" i="8"/>
  <c r="E49" i="8"/>
  <c r="E39" i="42"/>
  <c r="D39" i="42"/>
  <c r="D45" i="24"/>
  <c r="E45" i="24"/>
  <c r="I40" i="13"/>
  <c r="H48" i="8"/>
  <c r="B121" i="13"/>
  <c r="F121" i="13"/>
  <c r="H38" i="42"/>
  <c r="D52" i="7"/>
  <c r="E52" i="7"/>
  <c r="D46" i="23"/>
  <c r="E46" i="23"/>
  <c r="D51" i="11"/>
  <c r="E51" i="11"/>
  <c r="H119" i="44"/>
  <c r="I119" i="44"/>
  <c r="G38" i="42"/>
  <c r="F119" i="45"/>
  <c r="B119" i="45"/>
  <c r="G45" i="23"/>
  <c r="I45" i="23" s="1"/>
  <c r="F123" i="31"/>
  <c r="B123" i="31"/>
  <c r="D41" i="13"/>
  <c r="E41" i="13" s="1"/>
  <c r="I118" i="43"/>
  <c r="H118" i="43"/>
  <c r="D39" i="45"/>
  <c r="E39" i="45"/>
  <c r="D47" i="22"/>
  <c r="E47" i="22"/>
  <c r="G48" i="8"/>
  <c r="J118" i="39"/>
  <c r="I118" i="45"/>
  <c r="H118" i="45"/>
  <c r="H51" i="7"/>
  <c r="I51" i="7" s="1"/>
  <c r="H118" i="41"/>
  <c r="I118" i="41"/>
  <c r="I39" i="43"/>
  <c r="B120" i="44"/>
  <c r="F120" i="44"/>
  <c r="B44" i="29"/>
  <c r="F44" i="29"/>
  <c r="H44" i="29" s="1"/>
  <c r="B119" i="43"/>
  <c r="F119" i="43"/>
  <c r="E120" i="39"/>
  <c r="G119" i="39"/>
  <c r="D120" i="39"/>
  <c r="B119" i="41"/>
  <c r="F119" i="41"/>
  <c r="E47" i="25"/>
  <c r="D47" i="25"/>
  <c r="G46" i="25"/>
  <c r="I46" i="25" s="1"/>
  <c r="D40" i="41"/>
  <c r="E40" i="41"/>
  <c r="H40" i="39"/>
  <c r="I40" i="39" s="1"/>
  <c r="D40" i="37"/>
  <c r="E40" i="37"/>
  <c r="H39" i="38"/>
  <c r="I39" i="38" s="1"/>
  <c r="G48" i="4"/>
  <c r="I48" i="4" s="1"/>
  <c r="D40" i="40"/>
  <c r="E40" i="40"/>
  <c r="D40" i="43"/>
  <c r="E40" i="43"/>
  <c r="E120" i="42" l="1"/>
  <c r="B120" i="42"/>
  <c r="F120" i="42"/>
  <c r="H119" i="42"/>
  <c r="I119" i="42"/>
  <c r="G42" i="31"/>
  <c r="J118" i="40"/>
  <c r="B49" i="6"/>
  <c r="F49" i="6"/>
  <c r="G49" i="6" s="1"/>
  <c r="I42" i="31"/>
  <c r="G50" i="9"/>
  <c r="I50" i="9" s="1"/>
  <c r="E51" i="9"/>
  <c r="D51" i="9"/>
  <c r="I48" i="6"/>
  <c r="E44" i="27"/>
  <c r="D44" i="27"/>
  <c r="B39" i="44"/>
  <c r="F39" i="44"/>
  <c r="G43" i="27"/>
  <c r="I43" i="27" s="1"/>
  <c r="G119" i="40"/>
  <c r="D120" i="40"/>
  <c r="E120" i="40"/>
  <c r="G130" i="7"/>
  <c r="D131" i="7"/>
  <c r="E131" i="7"/>
  <c r="E126" i="23"/>
  <c r="G125" i="23"/>
  <c r="D126" i="23"/>
  <c r="F120" i="38"/>
  <c r="B120" i="38"/>
  <c r="D130" i="11"/>
  <c r="E130" i="11"/>
  <c r="G129" i="11"/>
  <c r="G129" i="9"/>
  <c r="E130" i="9"/>
  <c r="D130" i="9"/>
  <c r="G127" i="3"/>
  <c r="D128" i="3"/>
  <c r="E128" i="3"/>
  <c r="E127" i="25"/>
  <c r="G126" i="25"/>
  <c r="D127" i="25"/>
  <c r="G119" i="37"/>
  <c r="D120" i="37"/>
  <c r="E120" i="37"/>
  <c r="J127" i="6"/>
  <c r="D127" i="22"/>
  <c r="E127" i="22"/>
  <c r="G126" i="22"/>
  <c r="J118" i="37"/>
  <c r="E124" i="27"/>
  <c r="D124" i="27"/>
  <c r="G123" i="27"/>
  <c r="D125" i="24"/>
  <c r="E125" i="24"/>
  <c r="G124" i="24"/>
  <c r="D123" i="28"/>
  <c r="G122" i="28"/>
  <c r="E123" i="28"/>
  <c r="J125" i="22"/>
  <c r="E128" i="4"/>
  <c r="G127" i="4"/>
  <c r="D128" i="4"/>
  <c r="E129" i="8"/>
  <c r="G128" i="8"/>
  <c r="D129" i="8"/>
  <c r="D131" i="10"/>
  <c r="E131" i="10"/>
  <c r="G130" i="10"/>
  <c r="J128" i="9"/>
  <c r="E128" i="5"/>
  <c r="D128" i="5"/>
  <c r="G127" i="5"/>
  <c r="E122" i="30"/>
  <c r="D122" i="30"/>
  <c r="G121" i="30"/>
  <c r="E129" i="6"/>
  <c r="G128" i="6"/>
  <c r="D129" i="6"/>
  <c r="J129" i="7"/>
  <c r="J122" i="27"/>
  <c r="J125" i="25"/>
  <c r="J121" i="28"/>
  <c r="I119" i="38"/>
  <c r="H119" i="38"/>
  <c r="H123" i="29"/>
  <c r="I123" i="29"/>
  <c r="F124" i="29"/>
  <c r="B124" i="29"/>
  <c r="D121" i="44"/>
  <c r="E121" i="44" s="1"/>
  <c r="G120" i="44"/>
  <c r="F47" i="25"/>
  <c r="H47" i="25" s="1"/>
  <c r="G47" i="25"/>
  <c r="B47" i="25"/>
  <c r="J118" i="45"/>
  <c r="J118" i="43"/>
  <c r="B46" i="23"/>
  <c r="F46" i="23"/>
  <c r="G46" i="23" s="1"/>
  <c r="F51" i="10"/>
  <c r="G51" i="10" s="1"/>
  <c r="B51" i="10"/>
  <c r="I48" i="8"/>
  <c r="H119" i="39"/>
  <c r="I119" i="39"/>
  <c r="F40" i="43"/>
  <c r="G40" i="43" s="1"/>
  <c r="B40" i="43"/>
  <c r="F40" i="37"/>
  <c r="G40" i="37" s="1"/>
  <c r="B40" i="37"/>
  <c r="G119" i="43"/>
  <c r="D120" i="43"/>
  <c r="E120" i="43"/>
  <c r="D120" i="45"/>
  <c r="E120" i="45" s="1"/>
  <c r="G119" i="45"/>
  <c r="F49" i="8"/>
  <c r="B49" i="8"/>
  <c r="J120" i="13"/>
  <c r="B40" i="41"/>
  <c r="F40" i="41"/>
  <c r="H40" i="41" s="1"/>
  <c r="G119" i="41"/>
  <c r="D120" i="41"/>
  <c r="E120" i="41"/>
  <c r="J118" i="41"/>
  <c r="I38" i="42"/>
  <c r="D43" i="31"/>
  <c r="E43" i="31"/>
  <c r="F49" i="5"/>
  <c r="B49" i="5"/>
  <c r="F40" i="40"/>
  <c r="G40" i="40" s="1"/>
  <c r="B40" i="40"/>
  <c r="J119" i="44"/>
  <c r="D122" i="13"/>
  <c r="G121" i="13"/>
  <c r="B42" i="30"/>
  <c r="F42" i="30"/>
  <c r="G42" i="30" s="1"/>
  <c r="D45" i="29"/>
  <c r="E45" i="29"/>
  <c r="B49" i="4"/>
  <c r="F49" i="4"/>
  <c r="G49" i="4" s="1"/>
  <c r="B45" i="24"/>
  <c r="F45" i="24"/>
  <c r="G45" i="24" s="1"/>
  <c r="H45" i="24"/>
  <c r="F120" i="39"/>
  <c r="B120" i="39"/>
  <c r="G44" i="29"/>
  <c r="I44" i="29" s="1"/>
  <c r="B39" i="45"/>
  <c r="F39" i="45"/>
  <c r="H39" i="45" s="1"/>
  <c r="D124" i="31"/>
  <c r="G123" i="31"/>
  <c r="E124" i="31"/>
  <c r="B51" i="11"/>
  <c r="F51" i="11"/>
  <c r="B52" i="7"/>
  <c r="F52" i="7"/>
  <c r="F39" i="42"/>
  <c r="G39" i="42" s="1"/>
  <c r="B39" i="42"/>
  <c r="B40" i="38"/>
  <c r="F40" i="38"/>
  <c r="H40" i="38" s="1"/>
  <c r="B43" i="28"/>
  <c r="F43" i="28"/>
  <c r="G43" i="28" s="1"/>
  <c r="F41" i="39"/>
  <c r="G41" i="39" s="1"/>
  <c r="B41" i="39"/>
  <c r="J122" i="31"/>
  <c r="B41" i="13"/>
  <c r="F41" i="13"/>
  <c r="H41" i="13" s="1"/>
  <c r="F47" i="22"/>
  <c r="G47" i="22" s="1"/>
  <c r="B47" i="22"/>
  <c r="F49" i="3"/>
  <c r="G49" i="3" s="1"/>
  <c r="H49" i="3"/>
  <c r="B49" i="3"/>
  <c r="H49" i="6" l="1"/>
  <c r="H51" i="10"/>
  <c r="D121" i="42"/>
  <c r="G120" i="42"/>
  <c r="J119" i="42"/>
  <c r="I49" i="6"/>
  <c r="H39" i="42"/>
  <c r="G39" i="45"/>
  <c r="I39" i="45" s="1"/>
  <c r="H49" i="4"/>
  <c r="I49" i="4" s="1"/>
  <c r="D40" i="44"/>
  <c r="E40" i="44"/>
  <c r="H42" i="30"/>
  <c r="J119" i="38"/>
  <c r="G39" i="44"/>
  <c r="B51" i="9"/>
  <c r="F51" i="9"/>
  <c r="I45" i="24"/>
  <c r="H39" i="44"/>
  <c r="B44" i="27"/>
  <c r="F44" i="27"/>
  <c r="G44" i="27" s="1"/>
  <c r="D50" i="6"/>
  <c r="E50" i="6"/>
  <c r="B129" i="6"/>
  <c r="F129" i="6"/>
  <c r="F122" i="30"/>
  <c r="B122" i="30"/>
  <c r="B131" i="10"/>
  <c r="F131" i="10"/>
  <c r="B128" i="4"/>
  <c r="F128" i="4"/>
  <c r="B127" i="22"/>
  <c r="F127" i="22"/>
  <c r="I119" i="37"/>
  <c r="H119" i="37"/>
  <c r="F130" i="11"/>
  <c r="B130" i="11"/>
  <c r="I125" i="23"/>
  <c r="J125" i="23" s="1"/>
  <c r="H125" i="23"/>
  <c r="I130" i="7"/>
  <c r="J130" i="7" s="1"/>
  <c r="H130" i="7"/>
  <c r="I128" i="6"/>
  <c r="J128" i="6" s="1"/>
  <c r="H128" i="6"/>
  <c r="B129" i="8"/>
  <c r="F129" i="8"/>
  <c r="I127" i="4"/>
  <c r="J127" i="4" s="1"/>
  <c r="H127" i="4"/>
  <c r="I122" i="28"/>
  <c r="J122" i="28" s="1"/>
  <c r="H122" i="28"/>
  <c r="B125" i="24"/>
  <c r="F125" i="24"/>
  <c r="B127" i="25"/>
  <c r="F127" i="25"/>
  <c r="B128" i="3"/>
  <c r="F128" i="3"/>
  <c r="I129" i="9"/>
  <c r="J129" i="9" s="1"/>
  <c r="H129" i="9"/>
  <c r="J123" i="29"/>
  <c r="I127" i="5"/>
  <c r="H127" i="5"/>
  <c r="I130" i="10"/>
  <c r="H130" i="10"/>
  <c r="I128" i="8"/>
  <c r="H128" i="8"/>
  <c r="B123" i="28"/>
  <c r="F123" i="28"/>
  <c r="H123" i="27"/>
  <c r="I123" i="27"/>
  <c r="J123" i="27" s="1"/>
  <c r="I126" i="22"/>
  <c r="H126" i="22"/>
  <c r="I126" i="25"/>
  <c r="H126" i="25"/>
  <c r="H127" i="3"/>
  <c r="I127" i="3"/>
  <c r="J127" i="3" s="1"/>
  <c r="I129" i="11"/>
  <c r="H129" i="11"/>
  <c r="E121" i="38"/>
  <c r="G120" i="38"/>
  <c r="D121" i="38"/>
  <c r="F120" i="40"/>
  <c r="B120" i="40"/>
  <c r="I121" i="30"/>
  <c r="J121" i="30" s="1"/>
  <c r="H121" i="30"/>
  <c r="B128" i="5"/>
  <c r="F128" i="5"/>
  <c r="H124" i="24"/>
  <c r="I124" i="24"/>
  <c r="F124" i="27"/>
  <c r="B124" i="27"/>
  <c r="F120" i="37"/>
  <c r="B120" i="37"/>
  <c r="B130" i="9"/>
  <c r="F130" i="9"/>
  <c r="B126" i="23"/>
  <c r="F126" i="23"/>
  <c r="F131" i="7"/>
  <c r="B131" i="7"/>
  <c r="H119" i="40"/>
  <c r="I119" i="40"/>
  <c r="G124" i="29"/>
  <c r="D125" i="29"/>
  <c r="E125" i="29"/>
  <c r="E52" i="11"/>
  <c r="D52" i="11"/>
  <c r="F45" i="29"/>
  <c r="H45" i="29" s="1"/>
  <c r="B45" i="29"/>
  <c r="H121" i="13"/>
  <c r="I121" i="13"/>
  <c r="G40" i="41"/>
  <c r="I40" i="41" s="1"/>
  <c r="D50" i="8"/>
  <c r="E50" i="8"/>
  <c r="D42" i="13"/>
  <c r="E42" i="13" s="1"/>
  <c r="H43" i="28"/>
  <c r="I43" i="28" s="1"/>
  <c r="B122" i="13"/>
  <c r="D47" i="23"/>
  <c r="E47" i="23"/>
  <c r="D41" i="41"/>
  <c r="E41" i="41"/>
  <c r="D41" i="37"/>
  <c r="E41" i="37"/>
  <c r="I47" i="25"/>
  <c r="I123" i="31"/>
  <c r="H123" i="31"/>
  <c r="I42" i="30"/>
  <c r="D50" i="5"/>
  <c r="E50" i="5"/>
  <c r="H46" i="23"/>
  <c r="I46" i="23" s="1"/>
  <c r="D48" i="25"/>
  <c r="E48" i="25"/>
  <c r="I49" i="3"/>
  <c r="D53" i="7"/>
  <c r="E53" i="7"/>
  <c r="H52" i="7"/>
  <c r="B124" i="31"/>
  <c r="F124" i="31"/>
  <c r="D121" i="39"/>
  <c r="E121" i="39"/>
  <c r="G120" i="39"/>
  <c r="D46" i="24"/>
  <c r="E46" i="24"/>
  <c r="H49" i="5"/>
  <c r="H40" i="43"/>
  <c r="I40" i="43" s="1"/>
  <c r="D50" i="3"/>
  <c r="E50" i="3"/>
  <c r="G41" i="13"/>
  <c r="I41" i="13" s="1"/>
  <c r="E41" i="38"/>
  <c r="D41" i="38"/>
  <c r="D40" i="42"/>
  <c r="E40" i="42"/>
  <c r="G52" i="7"/>
  <c r="D43" i="30"/>
  <c r="E43" i="30"/>
  <c r="G49" i="5"/>
  <c r="B120" i="43"/>
  <c r="F120" i="43"/>
  <c r="I120" i="44"/>
  <c r="H120" i="44"/>
  <c r="I39" i="42"/>
  <c r="H51" i="11"/>
  <c r="D41" i="40"/>
  <c r="E41" i="40"/>
  <c r="F120" i="41"/>
  <c r="B120" i="41"/>
  <c r="H49" i="8"/>
  <c r="I119" i="45"/>
  <c r="H119" i="45"/>
  <c r="I119" i="43"/>
  <c r="H119" i="43"/>
  <c r="D41" i="43"/>
  <c r="E41" i="43"/>
  <c r="I51" i="10"/>
  <c r="B121" i="44"/>
  <c r="F121" i="44"/>
  <c r="D48" i="22"/>
  <c r="E48" i="22"/>
  <c r="D42" i="39"/>
  <c r="E42" i="39"/>
  <c r="D44" i="28"/>
  <c r="E44" i="28"/>
  <c r="H47" i="22"/>
  <c r="I47" i="22" s="1"/>
  <c r="H41" i="39"/>
  <c r="I41" i="39" s="1"/>
  <c r="G40" i="38"/>
  <c r="I40" i="38" s="1"/>
  <c r="G51" i="11"/>
  <c r="D40" i="45"/>
  <c r="E40" i="45"/>
  <c r="D50" i="4"/>
  <c r="E50" i="4"/>
  <c r="E122" i="13"/>
  <c r="F122" i="13" s="1"/>
  <c r="H40" i="40"/>
  <c r="I40" i="40" s="1"/>
  <c r="B43" i="31"/>
  <c r="F43" i="31"/>
  <c r="G43" i="31" s="1"/>
  <c r="H119" i="41"/>
  <c r="I119" i="41"/>
  <c r="G49" i="8"/>
  <c r="B120" i="45"/>
  <c r="F120" i="45"/>
  <c r="H40" i="37"/>
  <c r="I40" i="37" s="1"/>
  <c r="J119" i="39"/>
  <c r="D52" i="10"/>
  <c r="E52" i="10"/>
  <c r="I120" i="42" l="1"/>
  <c r="H120" i="42"/>
  <c r="E121" i="42"/>
  <c r="F121" i="42"/>
  <c r="B121" i="42"/>
  <c r="H44" i="27"/>
  <c r="I44" i="27" s="1"/>
  <c r="D52" i="9"/>
  <c r="E52" i="9"/>
  <c r="B40" i="44"/>
  <c r="F40" i="44"/>
  <c r="G40" i="44" s="1"/>
  <c r="H40" i="44"/>
  <c r="J119" i="37"/>
  <c r="F50" i="6"/>
  <c r="G50" i="6" s="1"/>
  <c r="B50" i="6"/>
  <c r="H51" i="9"/>
  <c r="D45" i="27"/>
  <c r="E45" i="27"/>
  <c r="I39" i="44"/>
  <c r="I51" i="11"/>
  <c r="G51" i="9"/>
  <c r="J119" i="40"/>
  <c r="E127" i="23"/>
  <c r="G126" i="23"/>
  <c r="D127" i="23"/>
  <c r="J124" i="24"/>
  <c r="B121" i="38"/>
  <c r="F121" i="38"/>
  <c r="J129" i="11"/>
  <c r="J126" i="25"/>
  <c r="J128" i="8"/>
  <c r="J127" i="5"/>
  <c r="D129" i="3"/>
  <c r="G128" i="3"/>
  <c r="E129" i="3"/>
  <c r="E126" i="24"/>
  <c r="G125" i="24"/>
  <c r="D126" i="24"/>
  <c r="E129" i="4"/>
  <c r="G128" i="4"/>
  <c r="D129" i="4"/>
  <c r="D121" i="37"/>
  <c r="E121" i="37"/>
  <c r="G120" i="37"/>
  <c r="H120" i="38"/>
  <c r="I120" i="38"/>
  <c r="J120" i="38" s="1"/>
  <c r="E124" i="28"/>
  <c r="D124" i="28"/>
  <c r="G123" i="28"/>
  <c r="G122" i="30"/>
  <c r="D123" i="30"/>
  <c r="E123" i="30"/>
  <c r="J119" i="41"/>
  <c r="J121" i="13"/>
  <c r="G130" i="9"/>
  <c r="E131" i="9"/>
  <c r="D131" i="9"/>
  <c r="D129" i="5"/>
  <c r="G128" i="5"/>
  <c r="E129" i="5"/>
  <c r="J126" i="22"/>
  <c r="J130" i="10"/>
  <c r="D128" i="25"/>
  <c r="E128" i="25"/>
  <c r="G127" i="25"/>
  <c r="G129" i="8"/>
  <c r="E130" i="8"/>
  <c r="D130" i="8"/>
  <c r="G127" i="22"/>
  <c r="E128" i="22"/>
  <c r="D128" i="22"/>
  <c r="G131" i="10"/>
  <c r="E132" i="10"/>
  <c r="D132" i="10"/>
  <c r="G129" i="6"/>
  <c r="E130" i="6"/>
  <c r="D130" i="6"/>
  <c r="D132" i="7"/>
  <c r="E132" i="7"/>
  <c r="G131" i="7"/>
  <c r="G124" i="27"/>
  <c r="E125" i="27"/>
  <c r="D125" i="27"/>
  <c r="D121" i="40"/>
  <c r="E121" i="40"/>
  <c r="G120" i="40"/>
  <c r="D131" i="11"/>
  <c r="G130" i="11"/>
  <c r="E131" i="11"/>
  <c r="F125" i="29"/>
  <c r="B125" i="29"/>
  <c r="I124" i="29"/>
  <c r="J124" i="29" s="1"/>
  <c r="H124" i="29"/>
  <c r="J123" i="31"/>
  <c r="G122" i="13"/>
  <c r="D123" i="13"/>
  <c r="B41" i="40"/>
  <c r="F41" i="40"/>
  <c r="G41" i="40" s="1"/>
  <c r="B53" i="7"/>
  <c r="F53" i="7"/>
  <c r="H53" i="7" s="1"/>
  <c r="H43" i="31"/>
  <c r="I43" i="31" s="1"/>
  <c r="F50" i="4"/>
  <c r="H50" i="4" s="1"/>
  <c r="B50" i="4"/>
  <c r="J119" i="45"/>
  <c r="D121" i="43"/>
  <c r="G120" i="43"/>
  <c r="E121" i="43"/>
  <c r="G124" i="31"/>
  <c r="D125" i="31"/>
  <c r="E125" i="31"/>
  <c r="F47" i="23"/>
  <c r="G47" i="23" s="1"/>
  <c r="B47" i="23"/>
  <c r="F50" i="8"/>
  <c r="G50" i="8" s="1"/>
  <c r="B50" i="8"/>
  <c r="D121" i="45"/>
  <c r="E121" i="45" s="1"/>
  <c r="G120" i="45"/>
  <c r="I52" i="7"/>
  <c r="B50" i="5"/>
  <c r="F50" i="5"/>
  <c r="B42" i="13"/>
  <c r="F42" i="13"/>
  <c r="D46" i="29"/>
  <c r="E46" i="29"/>
  <c r="B121" i="39"/>
  <c r="F121" i="39"/>
  <c r="H41" i="37"/>
  <c r="B41" i="37"/>
  <c r="F41" i="37"/>
  <c r="G41" i="37" s="1"/>
  <c r="B42" i="39"/>
  <c r="F42" i="39"/>
  <c r="H42" i="39" s="1"/>
  <c r="F50" i="3"/>
  <c r="H50" i="3" s="1"/>
  <c r="B50" i="3"/>
  <c r="B48" i="25"/>
  <c r="F48" i="25"/>
  <c r="G48" i="25" s="1"/>
  <c r="B41" i="41"/>
  <c r="F41" i="41"/>
  <c r="G41" i="41" s="1"/>
  <c r="G45" i="29"/>
  <c r="I45" i="29" s="1"/>
  <c r="B43" i="30"/>
  <c r="F43" i="30"/>
  <c r="G43" i="30" s="1"/>
  <c r="I49" i="8"/>
  <c r="F40" i="45"/>
  <c r="H40" i="45" s="1"/>
  <c r="B40" i="45"/>
  <c r="F41" i="43"/>
  <c r="H41" i="43" s="1"/>
  <c r="B41" i="43"/>
  <c r="J120" i="44"/>
  <c r="B46" i="24"/>
  <c r="F46" i="24"/>
  <c r="G46" i="24" s="1"/>
  <c r="F52" i="11"/>
  <c r="H52" i="11" s="1"/>
  <c r="B52" i="11"/>
  <c r="D44" i="31"/>
  <c r="E44" i="31"/>
  <c r="B52" i="10"/>
  <c r="F52" i="10"/>
  <c r="G52" i="10" s="1"/>
  <c r="F48" i="22"/>
  <c r="H48" i="22" s="1"/>
  <c r="B48" i="22"/>
  <c r="G120" i="41"/>
  <c r="D121" i="41"/>
  <c r="E121" i="41"/>
  <c r="H120" i="39"/>
  <c r="I120" i="39"/>
  <c r="B41" i="38"/>
  <c r="F41" i="38"/>
  <c r="B44" i="28"/>
  <c r="F44" i="28"/>
  <c r="G44" i="28" s="1"/>
  <c r="G121" i="44"/>
  <c r="D122" i="44"/>
  <c r="J119" i="43"/>
  <c r="F40" i="42"/>
  <c r="B40" i="42"/>
  <c r="D122" i="42" l="1"/>
  <c r="G121" i="42"/>
  <c r="H46" i="24"/>
  <c r="G40" i="45"/>
  <c r="I40" i="45" s="1"/>
  <c r="H50" i="8"/>
  <c r="H50" i="6"/>
  <c r="J120" i="42"/>
  <c r="G48" i="22"/>
  <c r="I46" i="24"/>
  <c r="G50" i="3"/>
  <c r="I50" i="3" s="1"/>
  <c r="H47" i="23"/>
  <c r="H41" i="40"/>
  <c r="I41" i="37"/>
  <c r="I50" i="6"/>
  <c r="H43" i="30"/>
  <c r="I43" i="30" s="1"/>
  <c r="H52" i="10"/>
  <c r="I52" i="10" s="1"/>
  <c r="G52" i="11"/>
  <c r="F45" i="27"/>
  <c r="B45" i="27"/>
  <c r="I40" i="44"/>
  <c r="B52" i="9"/>
  <c r="F52" i="9"/>
  <c r="G52" i="9" s="1"/>
  <c r="H52" i="9"/>
  <c r="H41" i="41"/>
  <c r="I41" i="41" s="1"/>
  <c r="G41" i="43"/>
  <c r="I41" i="43" s="1"/>
  <c r="G42" i="39"/>
  <c r="I42" i="39" s="1"/>
  <c r="I51" i="9"/>
  <c r="D51" i="6"/>
  <c r="E51" i="6"/>
  <c r="E41" i="44"/>
  <c r="D41" i="44"/>
  <c r="H124" i="27"/>
  <c r="I124" i="27"/>
  <c r="J124" i="27" s="1"/>
  <c r="B130" i="6"/>
  <c r="F130" i="6"/>
  <c r="I127" i="22"/>
  <c r="H127" i="22"/>
  <c r="I127" i="25"/>
  <c r="H127" i="25"/>
  <c r="B131" i="9"/>
  <c r="F131" i="9"/>
  <c r="I123" i="28"/>
  <c r="H123" i="28"/>
  <c r="F129" i="4"/>
  <c r="B129" i="4"/>
  <c r="I125" i="24"/>
  <c r="H125" i="24"/>
  <c r="F129" i="3"/>
  <c r="B129" i="3"/>
  <c r="F127" i="23"/>
  <c r="B127" i="23"/>
  <c r="H130" i="11"/>
  <c r="I130" i="11"/>
  <c r="J130" i="11" s="1"/>
  <c r="J155" i="11" s="1"/>
  <c r="F121" i="40"/>
  <c r="B121" i="40"/>
  <c r="H131" i="7"/>
  <c r="I131" i="7"/>
  <c r="J131" i="7" s="1"/>
  <c r="H131" i="10"/>
  <c r="I131" i="10"/>
  <c r="J131" i="10" s="1"/>
  <c r="F130" i="8"/>
  <c r="B130" i="8"/>
  <c r="B124" i="28"/>
  <c r="F124" i="28"/>
  <c r="H120" i="37"/>
  <c r="I120" i="37"/>
  <c r="J120" i="37" s="1"/>
  <c r="H128" i="4"/>
  <c r="I128" i="4"/>
  <c r="J128" i="4" s="1"/>
  <c r="D122" i="38"/>
  <c r="E122" i="38"/>
  <c r="G121" i="38"/>
  <c r="H126" i="23"/>
  <c r="I126" i="23"/>
  <c r="B131" i="11"/>
  <c r="F131" i="11"/>
  <c r="B125" i="27"/>
  <c r="F125" i="27"/>
  <c r="H129" i="6"/>
  <c r="I129" i="6"/>
  <c r="F128" i="22"/>
  <c r="B128" i="22"/>
  <c r="F128" i="25"/>
  <c r="B128" i="25"/>
  <c r="H128" i="5"/>
  <c r="I128" i="5"/>
  <c r="I130" i="9"/>
  <c r="J130" i="9" s="1"/>
  <c r="J155" i="9" s="1"/>
  <c r="H130" i="9"/>
  <c r="F123" i="30"/>
  <c r="B123" i="30"/>
  <c r="H120" i="40"/>
  <c r="I120" i="40"/>
  <c r="F132" i="7"/>
  <c r="B132" i="7"/>
  <c r="F132" i="10"/>
  <c r="B132" i="10"/>
  <c r="H129" i="8"/>
  <c r="I129" i="8"/>
  <c r="B129" i="5"/>
  <c r="F129" i="5"/>
  <c r="I122" i="30"/>
  <c r="J122" i="30" s="1"/>
  <c r="H122" i="30"/>
  <c r="F121" i="37"/>
  <c r="B121" i="37"/>
  <c r="B126" i="24"/>
  <c r="F126" i="24"/>
  <c r="H128" i="3"/>
  <c r="I128" i="3"/>
  <c r="E126" i="29"/>
  <c r="G125" i="29"/>
  <c r="D126" i="29"/>
  <c r="D43" i="13"/>
  <c r="E43" i="13" s="1"/>
  <c r="H120" i="41"/>
  <c r="I120" i="41"/>
  <c r="I52" i="11"/>
  <c r="G121" i="39"/>
  <c r="D122" i="39"/>
  <c r="E122" i="39"/>
  <c r="I50" i="8"/>
  <c r="D51" i="4"/>
  <c r="E51" i="4"/>
  <c r="I41" i="40"/>
  <c r="D42" i="38"/>
  <c r="E42" i="38"/>
  <c r="B122" i="44"/>
  <c r="H41" i="38"/>
  <c r="I48" i="22"/>
  <c r="D53" i="11"/>
  <c r="E53" i="11"/>
  <c r="D47" i="24"/>
  <c r="E47" i="24"/>
  <c r="H42" i="13"/>
  <c r="D51" i="8"/>
  <c r="E51" i="8"/>
  <c r="F121" i="41"/>
  <c r="B121" i="41"/>
  <c r="E122" i="44"/>
  <c r="F122" i="44" s="1"/>
  <c r="E42" i="43"/>
  <c r="D42" i="43"/>
  <c r="H48" i="25"/>
  <c r="I48" i="25" s="1"/>
  <c r="D43" i="39"/>
  <c r="E43" i="39"/>
  <c r="G42" i="13"/>
  <c r="H120" i="43"/>
  <c r="I120" i="43"/>
  <c r="D42" i="40"/>
  <c r="E42" i="40"/>
  <c r="H121" i="44"/>
  <c r="I121" i="44"/>
  <c r="D45" i="28"/>
  <c r="E45" i="28"/>
  <c r="F46" i="29"/>
  <c r="H46" i="29" s="1"/>
  <c r="B46" i="29"/>
  <c r="I120" i="45"/>
  <c r="H120" i="45"/>
  <c r="B125" i="31"/>
  <c r="F125" i="31"/>
  <c r="B121" i="43"/>
  <c r="F121" i="43"/>
  <c r="H44" i="28"/>
  <c r="I44" i="28" s="1"/>
  <c r="D49" i="22"/>
  <c r="E49" i="22"/>
  <c r="D49" i="25"/>
  <c r="E49" i="25"/>
  <c r="D51" i="5"/>
  <c r="E51" i="5"/>
  <c r="B121" i="45"/>
  <c r="F121" i="45"/>
  <c r="I47" i="23"/>
  <c r="H124" i="31"/>
  <c r="I124" i="31"/>
  <c r="B123" i="13"/>
  <c r="D41" i="42"/>
  <c r="E41" i="42"/>
  <c r="G40" i="42"/>
  <c r="B44" i="31"/>
  <c r="F44" i="31"/>
  <c r="G44" i="31" s="1"/>
  <c r="D51" i="3"/>
  <c r="E51" i="3"/>
  <c r="D42" i="37"/>
  <c r="E42" i="37"/>
  <c r="H50" i="5"/>
  <c r="D48" i="23"/>
  <c r="E48" i="23"/>
  <c r="D54" i="7"/>
  <c r="E54" i="7"/>
  <c r="E123" i="13"/>
  <c r="F123" i="13" s="1"/>
  <c r="H40" i="42"/>
  <c r="G41" i="38"/>
  <c r="J120" i="39"/>
  <c r="D53" i="10"/>
  <c r="E53" i="10"/>
  <c r="E41" i="45"/>
  <c r="D41" i="45"/>
  <c r="D44" i="30"/>
  <c r="E44" i="30"/>
  <c r="D42" i="41"/>
  <c r="E42" i="41"/>
  <c r="G50" i="5"/>
  <c r="G50" i="4"/>
  <c r="I50" i="4" s="1"/>
  <c r="G53" i="7"/>
  <c r="I53" i="7" s="1"/>
  <c r="H122" i="13"/>
  <c r="I122" i="13"/>
  <c r="H121" i="42" l="1"/>
  <c r="I121" i="42"/>
  <c r="J121" i="42" s="1"/>
  <c r="E122" i="42"/>
  <c r="F122" i="42" s="1"/>
  <c r="B122" i="42"/>
  <c r="I52" i="9"/>
  <c r="G46" i="29"/>
  <c r="B41" i="44"/>
  <c r="F41" i="44"/>
  <c r="D46" i="27"/>
  <c r="E46" i="27"/>
  <c r="H45" i="27"/>
  <c r="I46" i="29"/>
  <c r="D53" i="9"/>
  <c r="E53" i="9"/>
  <c r="J121" i="44"/>
  <c r="J120" i="43"/>
  <c r="F51" i="6"/>
  <c r="H51" i="6" s="1"/>
  <c r="B51" i="6"/>
  <c r="G45" i="27"/>
  <c r="G123" i="30"/>
  <c r="D124" i="30"/>
  <c r="E124" i="30"/>
  <c r="E125" i="28"/>
  <c r="G124" i="28"/>
  <c r="D125" i="28"/>
  <c r="E131" i="6"/>
  <c r="G130" i="6"/>
  <c r="D131" i="6"/>
  <c r="J128" i="3"/>
  <c r="E130" i="5"/>
  <c r="D130" i="5"/>
  <c r="G129" i="5"/>
  <c r="J120" i="40"/>
  <c r="J129" i="6"/>
  <c r="E132" i="11"/>
  <c r="G131" i="11"/>
  <c r="D132" i="11"/>
  <c r="I121" i="38"/>
  <c r="H121" i="38"/>
  <c r="D122" i="40"/>
  <c r="G121" i="40"/>
  <c r="E122" i="40"/>
  <c r="G127" i="23"/>
  <c r="D128" i="23"/>
  <c r="E128" i="23"/>
  <c r="J125" i="24"/>
  <c r="J123" i="28"/>
  <c r="J127" i="25"/>
  <c r="E133" i="7"/>
  <c r="D133" i="7"/>
  <c r="G132" i="7"/>
  <c r="G128" i="22"/>
  <c r="E129" i="22"/>
  <c r="D129" i="22"/>
  <c r="G121" i="37"/>
  <c r="E122" i="37"/>
  <c r="D122" i="37"/>
  <c r="E133" i="10"/>
  <c r="G132" i="10"/>
  <c r="D133" i="10"/>
  <c r="D129" i="25"/>
  <c r="G128" i="25"/>
  <c r="E129" i="25"/>
  <c r="G131" i="9"/>
  <c r="D132" i="9"/>
  <c r="E132" i="9"/>
  <c r="G126" i="24"/>
  <c r="D127" i="24"/>
  <c r="E127" i="24"/>
  <c r="J129" i="8"/>
  <c r="J128" i="5"/>
  <c r="E126" i="27"/>
  <c r="G125" i="27"/>
  <c r="D126" i="27"/>
  <c r="J126" i="23"/>
  <c r="B122" i="38"/>
  <c r="F122" i="38"/>
  <c r="D131" i="8"/>
  <c r="E131" i="8"/>
  <c r="G130" i="8"/>
  <c r="E130" i="3"/>
  <c r="G129" i="3"/>
  <c r="D130" i="3"/>
  <c r="D130" i="4"/>
  <c r="G129" i="4"/>
  <c r="E130" i="4"/>
  <c r="J127" i="22"/>
  <c r="J120" i="45"/>
  <c r="F126" i="29"/>
  <c r="B126" i="29"/>
  <c r="H125" i="29"/>
  <c r="I125" i="29"/>
  <c r="J125" i="29" s="1"/>
  <c r="G122" i="44"/>
  <c r="D123" i="44"/>
  <c r="G121" i="41"/>
  <c r="D122" i="41"/>
  <c r="E122" i="41"/>
  <c r="F53" i="10"/>
  <c r="G53" i="10" s="1"/>
  <c r="B53" i="10"/>
  <c r="G121" i="45"/>
  <c r="D122" i="45"/>
  <c r="E122" i="45" s="1"/>
  <c r="B53" i="11"/>
  <c r="F53" i="11"/>
  <c r="H53" i="11" s="1"/>
  <c r="J120" i="41"/>
  <c r="F41" i="42"/>
  <c r="H41" i="42" s="1"/>
  <c r="B41" i="42"/>
  <c r="E126" i="31"/>
  <c r="D126" i="31"/>
  <c r="G125" i="31"/>
  <c r="D47" i="29"/>
  <c r="E47" i="29"/>
  <c r="B42" i="40"/>
  <c r="F42" i="40"/>
  <c r="B49" i="22"/>
  <c r="F49" i="22"/>
  <c r="G49" i="22" s="1"/>
  <c r="D124" i="13"/>
  <c r="G123" i="13"/>
  <c r="B49" i="25"/>
  <c r="F49" i="25"/>
  <c r="G49" i="25" s="1"/>
  <c r="B51" i="8"/>
  <c r="F51" i="8"/>
  <c r="H51" i="8" s="1"/>
  <c r="F42" i="38"/>
  <c r="G42" i="38" s="1"/>
  <c r="B42" i="38"/>
  <c r="F42" i="41"/>
  <c r="G42" i="41" s="1"/>
  <c r="B42" i="41"/>
  <c r="G121" i="43"/>
  <c r="D122" i="43"/>
  <c r="E122" i="43"/>
  <c r="B44" i="30"/>
  <c r="F44" i="30"/>
  <c r="H44" i="30" s="1"/>
  <c r="B42" i="37"/>
  <c r="F42" i="37"/>
  <c r="D45" i="31"/>
  <c r="E45" i="31"/>
  <c r="F45" i="28"/>
  <c r="H45" i="28" s="1"/>
  <c r="B45" i="28"/>
  <c r="F42" i="43"/>
  <c r="B42" i="43"/>
  <c r="B122" i="39"/>
  <c r="F122" i="39"/>
  <c r="B48" i="23"/>
  <c r="F48" i="23"/>
  <c r="G48" i="23" s="1"/>
  <c r="F51" i="3"/>
  <c r="G51" i="3" s="1"/>
  <c r="B51" i="3"/>
  <c r="I42" i="13"/>
  <c r="I41" i="38"/>
  <c r="I121" i="39"/>
  <c r="H121" i="39"/>
  <c r="B54" i="7"/>
  <c r="F54" i="7"/>
  <c r="G54" i="7" s="1"/>
  <c r="F41" i="45"/>
  <c r="H41" i="45" s="1"/>
  <c r="B41" i="45"/>
  <c r="J122" i="13"/>
  <c r="I40" i="42"/>
  <c r="H44" i="31"/>
  <c r="I44" i="31" s="1"/>
  <c r="J124" i="31"/>
  <c r="B51" i="4"/>
  <c r="F51" i="4"/>
  <c r="B43" i="13"/>
  <c r="F43" i="13"/>
  <c r="G43" i="13" s="1"/>
  <c r="F51" i="5"/>
  <c r="H51" i="5" s="1"/>
  <c r="B51" i="5"/>
  <c r="B43" i="39"/>
  <c r="F43" i="39"/>
  <c r="G43" i="39" s="1"/>
  <c r="B47" i="24"/>
  <c r="F47" i="24"/>
  <c r="H47" i="24" s="1"/>
  <c r="G45" i="28" l="1"/>
  <c r="G122" i="42"/>
  <c r="D123" i="42"/>
  <c r="G44" i="30"/>
  <c r="G51" i="8"/>
  <c r="G51" i="6"/>
  <c r="I51" i="6" s="1"/>
  <c r="I45" i="27"/>
  <c r="I51" i="8"/>
  <c r="H54" i="7"/>
  <c r="D42" i="44"/>
  <c r="E42" i="44"/>
  <c r="G41" i="45"/>
  <c r="I41" i="45" s="1"/>
  <c r="H49" i="22"/>
  <c r="G41" i="44"/>
  <c r="I44" i="30"/>
  <c r="D52" i="6"/>
  <c r="E52" i="6"/>
  <c r="F53" i="9"/>
  <c r="H53" i="9" s="1"/>
  <c r="B53" i="9"/>
  <c r="F46" i="27"/>
  <c r="G46" i="27" s="1"/>
  <c r="B46" i="27"/>
  <c r="H41" i="44"/>
  <c r="H126" i="24"/>
  <c r="I126" i="24"/>
  <c r="J126" i="24" s="1"/>
  <c r="H132" i="10"/>
  <c r="I132" i="10"/>
  <c r="J132" i="10" s="1"/>
  <c r="I121" i="37"/>
  <c r="H121" i="37"/>
  <c r="H132" i="7"/>
  <c r="I132" i="7"/>
  <c r="J132" i="7" s="1"/>
  <c r="H127" i="23"/>
  <c r="I127" i="23"/>
  <c r="I130" i="6"/>
  <c r="H130" i="6"/>
  <c r="J121" i="39"/>
  <c r="I129" i="3"/>
  <c r="H129" i="3"/>
  <c r="B131" i="8"/>
  <c r="F131" i="8"/>
  <c r="B126" i="27"/>
  <c r="F126" i="27"/>
  <c r="I128" i="25"/>
  <c r="J128" i="25" s="1"/>
  <c r="H128" i="25"/>
  <c r="B129" i="22"/>
  <c r="F129" i="22"/>
  <c r="F133" i="7"/>
  <c r="B133" i="7"/>
  <c r="J121" i="38"/>
  <c r="F130" i="5"/>
  <c r="B130" i="5"/>
  <c r="I129" i="4"/>
  <c r="H129" i="4"/>
  <c r="D123" i="38"/>
  <c r="E123" i="38"/>
  <c r="G122" i="38"/>
  <c r="I125" i="27"/>
  <c r="H125" i="27"/>
  <c r="F132" i="9"/>
  <c r="B132" i="9"/>
  <c r="B129" i="25"/>
  <c r="F129" i="25"/>
  <c r="F122" i="37"/>
  <c r="B122" i="37"/>
  <c r="I121" i="40"/>
  <c r="H121" i="40"/>
  <c r="F132" i="11"/>
  <c r="B132" i="11"/>
  <c r="B125" i="28"/>
  <c r="F125" i="28"/>
  <c r="F124" i="30"/>
  <c r="B124" i="30"/>
  <c r="F130" i="3"/>
  <c r="B130" i="3"/>
  <c r="B130" i="4"/>
  <c r="F130" i="4"/>
  <c r="I130" i="8"/>
  <c r="H130" i="8"/>
  <c r="B127" i="24"/>
  <c r="F127" i="24"/>
  <c r="H131" i="9"/>
  <c r="I131" i="9"/>
  <c r="B133" i="10"/>
  <c r="F133" i="10"/>
  <c r="I128" i="22"/>
  <c r="H128" i="22"/>
  <c r="B128" i="23"/>
  <c r="F128" i="23"/>
  <c r="F122" i="40"/>
  <c r="B122" i="40"/>
  <c r="I131" i="11"/>
  <c r="H131" i="11"/>
  <c r="I129" i="5"/>
  <c r="H129" i="5"/>
  <c r="B131" i="6"/>
  <c r="F131" i="6"/>
  <c r="I124" i="28"/>
  <c r="H124" i="28"/>
  <c r="I123" i="30"/>
  <c r="J123" i="30" s="1"/>
  <c r="H123" i="30"/>
  <c r="D127" i="29"/>
  <c r="G126" i="29"/>
  <c r="E127" i="29"/>
  <c r="E52" i="5"/>
  <c r="D52" i="5"/>
  <c r="I45" i="28"/>
  <c r="D45" i="30"/>
  <c r="E45" i="30"/>
  <c r="D43" i="38"/>
  <c r="E43" i="38"/>
  <c r="B124" i="13"/>
  <c r="D42" i="42"/>
  <c r="E42" i="42"/>
  <c r="D54" i="10"/>
  <c r="E54" i="10"/>
  <c r="I49" i="22"/>
  <c r="E52" i="4"/>
  <c r="D52" i="4"/>
  <c r="D42" i="45"/>
  <c r="E42" i="45"/>
  <c r="I54" i="7"/>
  <c r="D52" i="3"/>
  <c r="E52" i="3"/>
  <c r="D43" i="37"/>
  <c r="E43" i="37"/>
  <c r="D43" i="41"/>
  <c r="E43" i="41"/>
  <c r="D50" i="25"/>
  <c r="E50" i="25"/>
  <c r="B122" i="45"/>
  <c r="F122" i="45"/>
  <c r="E55" i="7"/>
  <c r="D55" i="7"/>
  <c r="E43" i="43"/>
  <c r="D43" i="43"/>
  <c r="H42" i="37"/>
  <c r="H42" i="41"/>
  <c r="I42" i="41" s="1"/>
  <c r="F47" i="29"/>
  <c r="G47" i="29" s="1"/>
  <c r="B47" i="29"/>
  <c r="E54" i="11"/>
  <c r="D54" i="11"/>
  <c r="I121" i="45"/>
  <c r="H121" i="45"/>
  <c r="F122" i="41"/>
  <c r="B122" i="41"/>
  <c r="D44" i="39"/>
  <c r="E44" i="39"/>
  <c r="H43" i="13"/>
  <c r="I43" i="13" s="1"/>
  <c r="H51" i="4"/>
  <c r="H43" i="39"/>
  <c r="I43" i="39" s="1"/>
  <c r="H42" i="43"/>
  <c r="H49" i="25"/>
  <c r="I49" i="25" s="1"/>
  <c r="I125" i="31"/>
  <c r="H125" i="31"/>
  <c r="H121" i="41"/>
  <c r="I121" i="41"/>
  <c r="H123" i="13"/>
  <c r="I123" i="13"/>
  <c r="D49" i="23"/>
  <c r="E49" i="23"/>
  <c r="G42" i="43"/>
  <c r="G42" i="37"/>
  <c r="F126" i="31"/>
  <c r="B126" i="31"/>
  <c r="G53" i="11"/>
  <c r="I53" i="11" s="1"/>
  <c r="B123" i="44"/>
  <c r="E43" i="40"/>
  <c r="D43" i="40"/>
  <c r="G47" i="24"/>
  <c r="I47" i="24" s="1"/>
  <c r="D44" i="13"/>
  <c r="E44" i="13" s="1"/>
  <c r="G51" i="4"/>
  <c r="G122" i="39"/>
  <c r="D123" i="39"/>
  <c r="E123" i="39"/>
  <c r="B45" i="31"/>
  <c r="F45" i="31"/>
  <c r="H45" i="31" s="1"/>
  <c r="B122" i="43"/>
  <c r="F122" i="43"/>
  <c r="H42" i="38"/>
  <c r="I42" i="38" s="1"/>
  <c r="H42" i="40"/>
  <c r="I122" i="44"/>
  <c r="H122" i="44"/>
  <c r="D48" i="24"/>
  <c r="E48" i="24"/>
  <c r="G51" i="5"/>
  <c r="H51" i="3"/>
  <c r="I51" i="3" s="1"/>
  <c r="H48" i="23"/>
  <c r="I48" i="23" s="1"/>
  <c r="D46" i="28"/>
  <c r="E46" i="28"/>
  <c r="H121" i="43"/>
  <c r="I121" i="43"/>
  <c r="D52" i="8"/>
  <c r="E52" i="8"/>
  <c r="E124" i="13"/>
  <c r="F124" i="13" s="1"/>
  <c r="D50" i="22"/>
  <c r="E50" i="22"/>
  <c r="G42" i="40"/>
  <c r="G41" i="42"/>
  <c r="I41" i="42" s="1"/>
  <c r="H53" i="10"/>
  <c r="I53" i="10" s="1"/>
  <c r="E123" i="44"/>
  <c r="F123" i="44" s="1"/>
  <c r="H47" i="29" l="1"/>
  <c r="E123" i="42"/>
  <c r="F123" i="42"/>
  <c r="B123" i="42"/>
  <c r="H122" i="42"/>
  <c r="I122" i="42"/>
  <c r="J122" i="42" s="1"/>
  <c r="I41" i="44"/>
  <c r="I51" i="4"/>
  <c r="I47" i="29"/>
  <c r="E47" i="27"/>
  <c r="D47" i="27"/>
  <c r="E54" i="9"/>
  <c r="D54" i="9"/>
  <c r="B42" i="44"/>
  <c r="F42" i="44"/>
  <c r="G42" i="44" s="1"/>
  <c r="G45" i="31"/>
  <c r="I45" i="31" s="1"/>
  <c r="I42" i="43"/>
  <c r="H46" i="27"/>
  <c r="I46" i="27" s="1"/>
  <c r="G53" i="9"/>
  <c r="I53" i="9" s="1"/>
  <c r="F52" i="6"/>
  <c r="G52" i="6" s="1"/>
  <c r="B52" i="6"/>
  <c r="G132" i="11"/>
  <c r="E133" i="11"/>
  <c r="D133" i="11"/>
  <c r="D133" i="9"/>
  <c r="E133" i="9"/>
  <c r="G132" i="9"/>
  <c r="D134" i="7"/>
  <c r="E134" i="7"/>
  <c r="G133" i="7"/>
  <c r="J125" i="31"/>
  <c r="G125" i="28"/>
  <c r="D126" i="28"/>
  <c r="E126" i="28"/>
  <c r="G129" i="25"/>
  <c r="E130" i="25"/>
  <c r="D130" i="25"/>
  <c r="B123" i="38"/>
  <c r="F123" i="38"/>
  <c r="D131" i="5"/>
  <c r="E131" i="5"/>
  <c r="G130" i="5"/>
  <c r="E130" i="22"/>
  <c r="D130" i="22"/>
  <c r="G129" i="22"/>
  <c r="D127" i="27"/>
  <c r="E127" i="27"/>
  <c r="G126" i="27"/>
  <c r="J130" i="6"/>
  <c r="G124" i="30"/>
  <c r="D125" i="30"/>
  <c r="E125" i="30"/>
  <c r="G122" i="37"/>
  <c r="D123" i="37"/>
  <c r="E123" i="37"/>
  <c r="J124" i="28"/>
  <c r="J129" i="5"/>
  <c r="G122" i="40"/>
  <c r="D123" i="40"/>
  <c r="E123" i="40"/>
  <c r="J128" i="22"/>
  <c r="J130" i="8"/>
  <c r="E131" i="3"/>
  <c r="G130" i="3"/>
  <c r="D131" i="3"/>
  <c r="J121" i="40"/>
  <c r="J125" i="27"/>
  <c r="J129" i="3"/>
  <c r="J127" i="23"/>
  <c r="E132" i="6"/>
  <c r="D132" i="6"/>
  <c r="G131" i="6"/>
  <c r="D129" i="23"/>
  <c r="E129" i="23"/>
  <c r="G128" i="23"/>
  <c r="D134" i="10"/>
  <c r="G133" i="10"/>
  <c r="E134" i="10"/>
  <c r="E128" i="24"/>
  <c r="G127" i="24"/>
  <c r="D128" i="24"/>
  <c r="D131" i="4"/>
  <c r="E131" i="4"/>
  <c r="G130" i="4"/>
  <c r="H122" i="38"/>
  <c r="I122" i="38"/>
  <c r="J129" i="4"/>
  <c r="G131" i="8"/>
  <c r="E132" i="8"/>
  <c r="D132" i="8"/>
  <c r="J121" i="37"/>
  <c r="J122" i="44"/>
  <c r="J121" i="43"/>
  <c r="H126" i="29"/>
  <c r="I126" i="29"/>
  <c r="F127" i="29"/>
  <c r="B127" i="29"/>
  <c r="G124" i="13"/>
  <c r="D125" i="13"/>
  <c r="G123" i="44"/>
  <c r="D124" i="44"/>
  <c r="F49" i="23"/>
  <c r="H49" i="23" s="1"/>
  <c r="B49" i="23"/>
  <c r="F43" i="43"/>
  <c r="H43" i="43" s="1"/>
  <c r="B43" i="43"/>
  <c r="B43" i="37"/>
  <c r="F43" i="37"/>
  <c r="G43" i="37" s="1"/>
  <c r="F52" i="5"/>
  <c r="G52" i="5" s="1"/>
  <c r="B52" i="5"/>
  <c r="F42" i="42"/>
  <c r="G42" i="42" s="1"/>
  <c r="B42" i="42"/>
  <c r="J121" i="41"/>
  <c r="B44" i="39"/>
  <c r="F44" i="39"/>
  <c r="H44" i="39" s="1"/>
  <c r="F43" i="40"/>
  <c r="H43" i="40" s="1"/>
  <c r="B43" i="40"/>
  <c r="F50" i="22"/>
  <c r="B50" i="22"/>
  <c r="F52" i="8"/>
  <c r="H52" i="8" s="1"/>
  <c r="B52" i="8"/>
  <c r="I42" i="40"/>
  <c r="B54" i="10"/>
  <c r="F54" i="10"/>
  <c r="G54" i="10" s="1"/>
  <c r="B123" i="39"/>
  <c r="F123" i="39"/>
  <c r="G122" i="41"/>
  <c r="D123" i="41"/>
  <c r="E123" i="41"/>
  <c r="D48" i="29"/>
  <c r="E48" i="29"/>
  <c r="F52" i="3"/>
  <c r="H52" i="3" s="1"/>
  <c r="B52" i="3"/>
  <c r="F48" i="24"/>
  <c r="B48" i="24"/>
  <c r="G122" i="43"/>
  <c r="D123" i="43"/>
  <c r="E123" i="43"/>
  <c r="I122" i="39"/>
  <c r="H122" i="39"/>
  <c r="I42" i="37"/>
  <c r="H55" i="7"/>
  <c r="F55" i="7"/>
  <c r="B55" i="7"/>
  <c r="G55" i="7"/>
  <c r="G122" i="45"/>
  <c r="D123" i="45"/>
  <c r="F50" i="25"/>
  <c r="H50" i="25" s="1"/>
  <c r="G50" i="25"/>
  <c r="B50" i="25"/>
  <c r="B43" i="38"/>
  <c r="F43" i="38"/>
  <c r="H43" i="38" s="1"/>
  <c r="B46" i="28"/>
  <c r="F46" i="28"/>
  <c r="E127" i="31"/>
  <c r="G126" i="31"/>
  <c r="D127" i="31"/>
  <c r="B44" i="13"/>
  <c r="F44" i="13"/>
  <c r="H44" i="13" s="1"/>
  <c r="J123" i="13"/>
  <c r="J121" i="45"/>
  <c r="B42" i="45"/>
  <c r="F42" i="45"/>
  <c r="G42" i="45" s="1"/>
  <c r="D46" i="31"/>
  <c r="E46" i="31"/>
  <c r="B54" i="11"/>
  <c r="F54" i="11"/>
  <c r="G54" i="11" s="1"/>
  <c r="F43" i="41"/>
  <c r="G43" i="41" s="1"/>
  <c r="B43" i="41"/>
  <c r="B52" i="4"/>
  <c r="F52" i="4"/>
  <c r="G52" i="4" s="1"/>
  <c r="B45" i="30"/>
  <c r="F45" i="30"/>
  <c r="G45" i="30" s="1"/>
  <c r="G43" i="43" l="1"/>
  <c r="G123" i="42"/>
  <c r="D124" i="42"/>
  <c r="H52" i="5"/>
  <c r="H43" i="41"/>
  <c r="G49" i="23"/>
  <c r="H52" i="6"/>
  <c r="I52" i="6" s="1"/>
  <c r="H42" i="45"/>
  <c r="I42" i="45" s="1"/>
  <c r="H45" i="30"/>
  <c r="I45" i="30" s="1"/>
  <c r="B47" i="27"/>
  <c r="F47" i="27"/>
  <c r="H47" i="27" s="1"/>
  <c r="G52" i="3"/>
  <c r="I52" i="3" s="1"/>
  <c r="G52" i="8"/>
  <c r="I52" i="8" s="1"/>
  <c r="E43" i="44"/>
  <c r="D43" i="44"/>
  <c r="H54" i="11"/>
  <c r="I54" i="11" s="1"/>
  <c r="G43" i="38"/>
  <c r="I43" i="38" s="1"/>
  <c r="B54" i="9"/>
  <c r="F54" i="9"/>
  <c r="H54" i="9" s="1"/>
  <c r="I54" i="9" s="1"/>
  <c r="G54" i="9"/>
  <c r="I43" i="41"/>
  <c r="H52" i="4"/>
  <c r="I50" i="25"/>
  <c r="H42" i="42"/>
  <c r="I49" i="23"/>
  <c r="E53" i="6"/>
  <c r="D53" i="6"/>
  <c r="H42" i="44"/>
  <c r="I42" i="44" s="1"/>
  <c r="B129" i="23"/>
  <c r="F129" i="23"/>
  <c r="F133" i="9"/>
  <c r="B133" i="9"/>
  <c r="H131" i="8"/>
  <c r="I131" i="8"/>
  <c r="H130" i="4"/>
  <c r="I130" i="4"/>
  <c r="J130" i="4" s="1"/>
  <c r="H127" i="24"/>
  <c r="I127" i="24"/>
  <c r="F134" i="10"/>
  <c r="B134" i="10"/>
  <c r="I131" i="6"/>
  <c r="J131" i="6" s="1"/>
  <c r="H131" i="6"/>
  <c r="I130" i="3"/>
  <c r="H130" i="3"/>
  <c r="I126" i="27"/>
  <c r="J126" i="27" s="1"/>
  <c r="H126" i="27"/>
  <c r="F130" i="22"/>
  <c r="B130" i="22"/>
  <c r="F131" i="5"/>
  <c r="B131" i="5"/>
  <c r="I125" i="28"/>
  <c r="H125" i="28"/>
  <c r="B134" i="7"/>
  <c r="F134" i="7"/>
  <c r="B133" i="11"/>
  <c r="F133" i="11"/>
  <c r="F128" i="24"/>
  <c r="B128" i="24"/>
  <c r="B131" i="3"/>
  <c r="F131" i="3"/>
  <c r="I122" i="37"/>
  <c r="H122" i="37"/>
  <c r="I129" i="22"/>
  <c r="H129" i="22"/>
  <c r="F130" i="25"/>
  <c r="B130" i="25"/>
  <c r="J126" i="29"/>
  <c r="H128" i="23"/>
  <c r="I128" i="23"/>
  <c r="B132" i="6"/>
  <c r="F132" i="6"/>
  <c r="B123" i="40"/>
  <c r="F123" i="40"/>
  <c r="F125" i="30"/>
  <c r="B125" i="30"/>
  <c r="G123" i="38"/>
  <c r="E124" i="38"/>
  <c r="D124" i="38"/>
  <c r="I129" i="25"/>
  <c r="H129" i="25"/>
  <c r="H132" i="9"/>
  <c r="I132" i="9"/>
  <c r="H133" i="10"/>
  <c r="I133" i="10"/>
  <c r="J133" i="10" s="1"/>
  <c r="F126" i="28"/>
  <c r="B126" i="28"/>
  <c r="F132" i="8"/>
  <c r="B132" i="8"/>
  <c r="J122" i="38"/>
  <c r="F131" i="4"/>
  <c r="B131" i="4"/>
  <c r="I122" i="40"/>
  <c r="H122" i="40"/>
  <c r="B123" i="37"/>
  <c r="F123" i="37"/>
  <c r="I124" i="30"/>
  <c r="J124" i="30" s="1"/>
  <c r="H124" i="30"/>
  <c r="F127" i="27"/>
  <c r="B127" i="27"/>
  <c r="I130" i="5"/>
  <c r="J130" i="5" s="1"/>
  <c r="H130" i="5"/>
  <c r="I133" i="7"/>
  <c r="J133" i="7" s="1"/>
  <c r="H133" i="7"/>
  <c r="H132" i="11"/>
  <c r="I132" i="11"/>
  <c r="G127" i="29"/>
  <c r="D128" i="29"/>
  <c r="E128" i="29"/>
  <c r="J122" i="39"/>
  <c r="I122" i="41"/>
  <c r="H122" i="41"/>
  <c r="H122" i="45"/>
  <c r="I122" i="45"/>
  <c r="D49" i="24"/>
  <c r="E49" i="24"/>
  <c r="D45" i="39"/>
  <c r="E45" i="39"/>
  <c r="I43" i="43"/>
  <c r="B124" i="44"/>
  <c r="B123" i="45"/>
  <c r="I42" i="42"/>
  <c r="F127" i="31"/>
  <c r="B127" i="31"/>
  <c r="E55" i="10"/>
  <c r="D55" i="10"/>
  <c r="E44" i="40"/>
  <c r="D44" i="40"/>
  <c r="E124" i="44"/>
  <c r="F124" i="44" s="1"/>
  <c r="D55" i="11"/>
  <c r="E55" i="11"/>
  <c r="D45" i="13"/>
  <c r="I126" i="31"/>
  <c r="H126" i="31"/>
  <c r="E56" i="7"/>
  <c r="D56" i="7"/>
  <c r="F123" i="43"/>
  <c r="B123" i="43"/>
  <c r="E124" i="39"/>
  <c r="D124" i="39"/>
  <c r="G123" i="39"/>
  <c r="E53" i="8"/>
  <c r="D53" i="8"/>
  <c r="G43" i="40"/>
  <c r="I43" i="40" s="1"/>
  <c r="D53" i="5"/>
  <c r="E53" i="5"/>
  <c r="I123" i="44"/>
  <c r="H123" i="44"/>
  <c r="I52" i="4"/>
  <c r="E47" i="28"/>
  <c r="D47" i="28"/>
  <c r="E51" i="22"/>
  <c r="D51" i="22"/>
  <c r="D43" i="45"/>
  <c r="E43" i="45"/>
  <c r="I55" i="7"/>
  <c r="H122" i="43"/>
  <c r="I122" i="43"/>
  <c r="B48" i="29"/>
  <c r="F48" i="29"/>
  <c r="H48" i="29" s="1"/>
  <c r="H54" i="10"/>
  <c r="I54" i="10" s="1"/>
  <c r="E50" i="23"/>
  <c r="D50" i="23"/>
  <c r="B125" i="13"/>
  <c r="D44" i="37"/>
  <c r="E44" i="37"/>
  <c r="D53" i="4"/>
  <c r="E53" i="4"/>
  <c r="D46" i="30"/>
  <c r="E46" i="30"/>
  <c r="D44" i="41"/>
  <c r="E44" i="41"/>
  <c r="G44" i="13"/>
  <c r="I44" i="13" s="1"/>
  <c r="H46" i="28"/>
  <c r="E44" i="38"/>
  <c r="D44" i="38"/>
  <c r="E51" i="25"/>
  <c r="D51" i="25"/>
  <c r="H48" i="24"/>
  <c r="H50" i="22"/>
  <c r="E125" i="13"/>
  <c r="F125" i="13" s="1"/>
  <c r="F46" i="31"/>
  <c r="H46" i="31" s="1"/>
  <c r="B46" i="31"/>
  <c r="G46" i="28"/>
  <c r="E123" i="45"/>
  <c r="F123" i="45" s="1"/>
  <c r="G48" i="24"/>
  <c r="E53" i="3"/>
  <c r="D53" i="3"/>
  <c r="F123" i="41"/>
  <c r="B123" i="41"/>
  <c r="G50" i="22"/>
  <c r="G44" i="39"/>
  <c r="I44" i="39" s="1"/>
  <c r="D43" i="42"/>
  <c r="E43" i="42"/>
  <c r="H43" i="37"/>
  <c r="I43" i="37" s="1"/>
  <c r="D44" i="43"/>
  <c r="E44" i="43"/>
  <c r="H124" i="13"/>
  <c r="I124" i="13"/>
  <c r="E124" i="42" l="1"/>
  <c r="F124" i="42"/>
  <c r="B124" i="42"/>
  <c r="I48" i="29"/>
  <c r="I123" i="42"/>
  <c r="H123" i="42"/>
  <c r="G48" i="29"/>
  <c r="J122" i="45"/>
  <c r="I46" i="28"/>
  <c r="J122" i="37"/>
  <c r="D55" i="9"/>
  <c r="E55" i="9"/>
  <c r="B43" i="44"/>
  <c r="F43" i="44"/>
  <c r="H43" i="44"/>
  <c r="B53" i="6"/>
  <c r="F53" i="6"/>
  <c r="G53" i="6" s="1"/>
  <c r="I48" i="24"/>
  <c r="J122" i="40"/>
  <c r="G47" i="27"/>
  <c r="I47" i="27" s="1"/>
  <c r="E48" i="27"/>
  <c r="D48" i="27"/>
  <c r="H123" i="38"/>
  <c r="I123" i="38"/>
  <c r="E134" i="11"/>
  <c r="D134" i="11"/>
  <c r="G133" i="11"/>
  <c r="G123" i="37"/>
  <c r="E124" i="37"/>
  <c r="D124" i="37"/>
  <c r="G132" i="8"/>
  <c r="E133" i="8"/>
  <c r="D133" i="8"/>
  <c r="J129" i="25"/>
  <c r="D133" i="6"/>
  <c r="E133" i="6"/>
  <c r="G132" i="6"/>
  <c r="J129" i="22"/>
  <c r="J125" i="28"/>
  <c r="D131" i="22"/>
  <c r="G130" i="22"/>
  <c r="E131" i="22"/>
  <c r="J130" i="3"/>
  <c r="E135" i="10"/>
  <c r="D135" i="10"/>
  <c r="G134" i="10"/>
  <c r="G133" i="9"/>
  <c r="D134" i="9"/>
  <c r="E134" i="9"/>
  <c r="G131" i="3"/>
  <c r="D132" i="3"/>
  <c r="E132" i="3"/>
  <c r="E128" i="27"/>
  <c r="G127" i="27"/>
  <c r="D128" i="27"/>
  <c r="E132" i="4"/>
  <c r="G131" i="4"/>
  <c r="D132" i="4"/>
  <c r="F124" i="38"/>
  <c r="B124" i="38"/>
  <c r="E126" i="30"/>
  <c r="G125" i="30"/>
  <c r="D126" i="30"/>
  <c r="D135" i="7"/>
  <c r="G134" i="7"/>
  <c r="E135" i="7"/>
  <c r="J127" i="24"/>
  <c r="J131" i="8"/>
  <c r="E130" i="23"/>
  <c r="D130" i="23"/>
  <c r="G129" i="23"/>
  <c r="J122" i="43"/>
  <c r="D127" i="28"/>
  <c r="G126" i="28"/>
  <c r="E127" i="28"/>
  <c r="G123" i="40"/>
  <c r="D124" i="40"/>
  <c r="E124" i="40"/>
  <c r="J128" i="23"/>
  <c r="G130" i="25"/>
  <c r="E131" i="25"/>
  <c r="D131" i="25"/>
  <c r="E129" i="24"/>
  <c r="G128" i="24"/>
  <c r="D129" i="24"/>
  <c r="D132" i="5"/>
  <c r="G131" i="5"/>
  <c r="E132" i="5"/>
  <c r="J124" i="13"/>
  <c r="J123" i="44"/>
  <c r="F128" i="29"/>
  <c r="B128" i="29"/>
  <c r="H127" i="29"/>
  <c r="I127" i="29"/>
  <c r="G125" i="13"/>
  <c r="D126" i="13"/>
  <c r="E126" i="13" s="1"/>
  <c r="B53" i="4"/>
  <c r="F53" i="4"/>
  <c r="B53" i="8"/>
  <c r="F53" i="8"/>
  <c r="J126" i="31"/>
  <c r="J122" i="41"/>
  <c r="F55" i="11"/>
  <c r="G55" i="11" s="1"/>
  <c r="B55" i="11"/>
  <c r="F43" i="45"/>
  <c r="G43" i="45" s="1"/>
  <c r="B43" i="45"/>
  <c r="D124" i="43"/>
  <c r="G123" i="43"/>
  <c r="E124" i="43"/>
  <c r="B45" i="13"/>
  <c r="G124" i="44"/>
  <c r="D125" i="44"/>
  <c r="F53" i="3"/>
  <c r="G53" i="3" s="1"/>
  <c r="B53" i="3"/>
  <c r="B51" i="25"/>
  <c r="F51" i="25"/>
  <c r="B44" i="37"/>
  <c r="F44" i="37"/>
  <c r="H123" i="39"/>
  <c r="I123" i="39"/>
  <c r="E45" i="13"/>
  <c r="F45" i="13" s="1"/>
  <c r="F44" i="40"/>
  <c r="H44" i="40" s="1"/>
  <c r="B44" i="40"/>
  <c r="D124" i="41"/>
  <c r="G123" i="41"/>
  <c r="E124" i="41"/>
  <c r="I50" i="22"/>
  <c r="B51" i="22"/>
  <c r="F51" i="22"/>
  <c r="G51" i="22" s="1"/>
  <c r="F124" i="39"/>
  <c r="B124" i="39"/>
  <c r="B56" i="7"/>
  <c r="F56" i="7"/>
  <c r="H56" i="7" s="1"/>
  <c r="G56" i="7"/>
  <c r="B45" i="39"/>
  <c r="F45" i="39"/>
  <c r="H45" i="39" s="1"/>
  <c r="G45" i="39"/>
  <c r="D124" i="45"/>
  <c r="E124" i="45" s="1"/>
  <c r="G123" i="45"/>
  <c r="D47" i="31"/>
  <c r="E47" i="31"/>
  <c r="F43" i="42"/>
  <c r="H43" i="42" s="1"/>
  <c r="B43" i="42"/>
  <c r="F44" i="38"/>
  <c r="B44" i="38"/>
  <c r="B44" i="41"/>
  <c r="F44" i="41"/>
  <c r="H44" i="41" s="1"/>
  <c r="E49" i="29"/>
  <c r="D49" i="29"/>
  <c r="B49" i="24"/>
  <c r="F49" i="24"/>
  <c r="G49" i="24" s="1"/>
  <c r="B44" i="43"/>
  <c r="F44" i="43"/>
  <c r="H44" i="43" s="1"/>
  <c r="G46" i="31"/>
  <c r="I46" i="31" s="1"/>
  <c r="F50" i="23"/>
  <c r="H50" i="23" s="1"/>
  <c r="B50" i="23"/>
  <c r="B47" i="28"/>
  <c r="F47" i="28"/>
  <c r="G47" i="28" s="1"/>
  <c r="F53" i="5"/>
  <c r="H53" i="5" s="1"/>
  <c r="G53" i="5"/>
  <c r="B53" i="5"/>
  <c r="B55" i="10"/>
  <c r="F55" i="10"/>
  <c r="G55" i="10" s="1"/>
  <c r="G127" i="31"/>
  <c r="D128" i="31"/>
  <c r="E128" i="31"/>
  <c r="B46" i="30"/>
  <c r="F46" i="30"/>
  <c r="G46" i="30" s="1"/>
  <c r="I56" i="7" l="1"/>
  <c r="I45" i="39"/>
  <c r="G124" i="42"/>
  <c r="D125" i="42"/>
  <c r="J123" i="38"/>
  <c r="J123" i="42"/>
  <c r="H55" i="10"/>
  <c r="J123" i="39"/>
  <c r="D54" i="6"/>
  <c r="E54" i="6"/>
  <c r="G44" i="41"/>
  <c r="I44" i="41" s="1"/>
  <c r="H53" i="6"/>
  <c r="I53" i="6" s="1"/>
  <c r="G43" i="44"/>
  <c r="I43" i="44" s="1"/>
  <c r="E44" i="44"/>
  <c r="D44" i="44"/>
  <c r="G44" i="43"/>
  <c r="I44" i="43" s="1"/>
  <c r="H51" i="22"/>
  <c r="B55" i="9"/>
  <c r="F55" i="9"/>
  <c r="H55" i="9" s="1"/>
  <c r="F48" i="27"/>
  <c r="H48" i="27" s="1"/>
  <c r="B48" i="27"/>
  <c r="F132" i="4"/>
  <c r="B132" i="4"/>
  <c r="B134" i="11"/>
  <c r="F134" i="11"/>
  <c r="B129" i="24"/>
  <c r="F129" i="24"/>
  <c r="B124" i="40"/>
  <c r="F124" i="40"/>
  <c r="F127" i="28"/>
  <c r="B127" i="28"/>
  <c r="H134" i="7"/>
  <c r="I134" i="7"/>
  <c r="J134" i="7" s="1"/>
  <c r="I131" i="4"/>
  <c r="H131" i="4"/>
  <c r="B135" i="10"/>
  <c r="F135" i="10"/>
  <c r="H130" i="22"/>
  <c r="I130" i="22"/>
  <c r="H132" i="6"/>
  <c r="I132" i="6"/>
  <c r="J132" i="6" s="1"/>
  <c r="B133" i="8"/>
  <c r="F133" i="8"/>
  <c r="B131" i="25"/>
  <c r="F131" i="25"/>
  <c r="I126" i="28"/>
  <c r="J126" i="28" s="1"/>
  <c r="H126" i="28"/>
  <c r="I127" i="27"/>
  <c r="H127" i="27"/>
  <c r="I134" i="10"/>
  <c r="J134" i="10" s="1"/>
  <c r="H134" i="10"/>
  <c r="B124" i="37"/>
  <c r="F124" i="37"/>
  <c r="I128" i="24"/>
  <c r="J128" i="24" s="1"/>
  <c r="H128" i="24"/>
  <c r="I130" i="25"/>
  <c r="H130" i="25"/>
  <c r="I123" i="40"/>
  <c r="H123" i="40"/>
  <c r="B135" i="7"/>
  <c r="F135" i="7"/>
  <c r="B134" i="9"/>
  <c r="F134" i="9"/>
  <c r="B131" i="22"/>
  <c r="F131" i="22"/>
  <c r="H123" i="37"/>
  <c r="I123" i="37"/>
  <c r="B132" i="5"/>
  <c r="F132" i="5"/>
  <c r="B130" i="23"/>
  <c r="F130" i="23"/>
  <c r="H125" i="30"/>
  <c r="I125" i="30"/>
  <c r="J125" i="30" s="1"/>
  <c r="H131" i="3"/>
  <c r="I131" i="3"/>
  <c r="J127" i="29"/>
  <c r="I131" i="5"/>
  <c r="J131" i="5" s="1"/>
  <c r="H131" i="5"/>
  <c r="H129" i="23"/>
  <c r="I129" i="23"/>
  <c r="J129" i="23" s="1"/>
  <c r="F126" i="30"/>
  <c r="B126" i="30"/>
  <c r="D125" i="38"/>
  <c r="G124" i="38"/>
  <c r="E125" i="38"/>
  <c r="F128" i="27"/>
  <c r="B128" i="27"/>
  <c r="B132" i="3"/>
  <c r="F132" i="3"/>
  <c r="I133" i="9"/>
  <c r="H133" i="9"/>
  <c r="F133" i="6"/>
  <c r="B133" i="6"/>
  <c r="H132" i="8"/>
  <c r="I132" i="8"/>
  <c r="J132" i="8" s="1"/>
  <c r="I133" i="11"/>
  <c r="H133" i="11"/>
  <c r="G128" i="29"/>
  <c r="E129" i="29"/>
  <c r="D129" i="29"/>
  <c r="D46" i="13"/>
  <c r="G45" i="13"/>
  <c r="H45" i="13"/>
  <c r="F128" i="31"/>
  <c r="B128" i="31"/>
  <c r="E45" i="41"/>
  <c r="D45" i="41"/>
  <c r="H123" i="45"/>
  <c r="I123" i="45"/>
  <c r="D54" i="3"/>
  <c r="E54" i="3"/>
  <c r="I123" i="43"/>
  <c r="H123" i="43"/>
  <c r="D45" i="37"/>
  <c r="E45" i="37"/>
  <c r="B124" i="45"/>
  <c r="F124" i="45"/>
  <c r="E125" i="39"/>
  <c r="G124" i="39"/>
  <c r="D125" i="39"/>
  <c r="D45" i="40"/>
  <c r="E45" i="40"/>
  <c r="D52" i="25"/>
  <c r="E52" i="25"/>
  <c r="B124" i="43"/>
  <c r="F124" i="43"/>
  <c r="E56" i="11"/>
  <c r="D56" i="11"/>
  <c r="E54" i="8"/>
  <c r="D54" i="8"/>
  <c r="H127" i="31"/>
  <c r="I127" i="31"/>
  <c r="I55" i="10"/>
  <c r="D50" i="24"/>
  <c r="E50" i="24"/>
  <c r="D44" i="42"/>
  <c r="E44" i="42"/>
  <c r="I123" i="41"/>
  <c r="H123" i="41"/>
  <c r="G51" i="25"/>
  <c r="D54" i="5"/>
  <c r="E54" i="5"/>
  <c r="G43" i="42"/>
  <c r="I43" i="42" s="1"/>
  <c r="B124" i="41"/>
  <c r="F124" i="41"/>
  <c r="B125" i="44"/>
  <c r="E54" i="4"/>
  <c r="D54" i="4"/>
  <c r="D47" i="30"/>
  <c r="E47" i="30"/>
  <c r="H47" i="28"/>
  <c r="I47" i="28" s="1"/>
  <c r="D51" i="23"/>
  <c r="E51" i="23"/>
  <c r="H51" i="25"/>
  <c r="H124" i="44"/>
  <c r="I124" i="44"/>
  <c r="J124" i="44" s="1"/>
  <c r="D44" i="45"/>
  <c r="E44" i="45"/>
  <c r="D45" i="38"/>
  <c r="E45" i="38"/>
  <c r="H46" i="30"/>
  <c r="I46" i="30" s="1"/>
  <c r="H49" i="24"/>
  <c r="I49" i="24" s="1"/>
  <c r="G50" i="23"/>
  <c r="I50" i="23" s="1"/>
  <c r="H44" i="38"/>
  <c r="B47" i="31"/>
  <c r="F47" i="31"/>
  <c r="H47" i="31" s="1"/>
  <c r="D46" i="39"/>
  <c r="E46" i="39"/>
  <c r="E57" i="7"/>
  <c r="D57" i="7"/>
  <c r="D52" i="22"/>
  <c r="E52" i="22"/>
  <c r="H44" i="37"/>
  <c r="H53" i="3"/>
  <c r="I53" i="3" s="1"/>
  <c r="E125" i="44"/>
  <c r="F125" i="44" s="1"/>
  <c r="H43" i="45"/>
  <c r="I43" i="45" s="1"/>
  <c r="G53" i="8"/>
  <c r="G53" i="4"/>
  <c r="F126" i="13"/>
  <c r="B126" i="13"/>
  <c r="E56" i="10"/>
  <c r="D56" i="10"/>
  <c r="D48" i="28"/>
  <c r="E48" i="28"/>
  <c r="D45" i="43"/>
  <c r="E45" i="43"/>
  <c r="B49" i="29"/>
  <c r="F49" i="29"/>
  <c r="G49" i="29" s="1"/>
  <c r="G44" i="38"/>
  <c r="I51" i="22"/>
  <c r="G44" i="40"/>
  <c r="I44" i="40" s="1"/>
  <c r="G44" i="37"/>
  <c r="H55" i="11"/>
  <c r="I55" i="11" s="1"/>
  <c r="H53" i="8"/>
  <c r="H53" i="4"/>
  <c r="I53" i="4" s="1"/>
  <c r="H125" i="13"/>
  <c r="I125" i="13"/>
  <c r="I124" i="42" l="1"/>
  <c r="H124" i="42"/>
  <c r="B125" i="42"/>
  <c r="E125" i="42"/>
  <c r="F125" i="42" s="1"/>
  <c r="I53" i="8"/>
  <c r="G48" i="27"/>
  <c r="I48" i="27" s="1"/>
  <c r="G55" i="9"/>
  <c r="I55" i="9" s="1"/>
  <c r="I45" i="13"/>
  <c r="J123" i="40"/>
  <c r="I51" i="25"/>
  <c r="E56" i="9"/>
  <c r="D56" i="9"/>
  <c r="F44" i="44"/>
  <c r="G44" i="44"/>
  <c r="H44" i="44"/>
  <c r="I44" i="44" s="1"/>
  <c r="B44" i="44"/>
  <c r="J125" i="13"/>
  <c r="D49" i="27"/>
  <c r="E49" i="27"/>
  <c r="F54" i="6"/>
  <c r="B54" i="6"/>
  <c r="H54" i="6"/>
  <c r="E133" i="3"/>
  <c r="D133" i="3"/>
  <c r="G132" i="3"/>
  <c r="D127" i="30"/>
  <c r="E127" i="30"/>
  <c r="G126" i="30"/>
  <c r="E132" i="22"/>
  <c r="D132" i="22"/>
  <c r="G131" i="22"/>
  <c r="G133" i="6"/>
  <c r="E134" i="6"/>
  <c r="D134" i="6"/>
  <c r="H124" i="38"/>
  <c r="I124" i="38"/>
  <c r="J130" i="25"/>
  <c r="J127" i="27"/>
  <c r="E136" i="7"/>
  <c r="G135" i="7"/>
  <c r="D136" i="7"/>
  <c r="G134" i="11"/>
  <c r="E135" i="11"/>
  <c r="D135" i="11"/>
  <c r="F125" i="38"/>
  <c r="B125" i="38"/>
  <c r="J131" i="3"/>
  <c r="D131" i="23"/>
  <c r="E131" i="23"/>
  <c r="G130" i="23"/>
  <c r="J123" i="37"/>
  <c r="G134" i="9"/>
  <c r="E135" i="9"/>
  <c r="D135" i="9"/>
  <c r="E134" i="8"/>
  <c r="D134" i="8"/>
  <c r="G133" i="8"/>
  <c r="J130" i="22"/>
  <c r="J155" i="22" s="1"/>
  <c r="D130" i="24"/>
  <c r="G129" i="24"/>
  <c r="E130" i="24"/>
  <c r="E133" i="5"/>
  <c r="D133" i="5"/>
  <c r="G132" i="5"/>
  <c r="D125" i="37"/>
  <c r="E125" i="37"/>
  <c r="G124" i="37"/>
  <c r="G131" i="25"/>
  <c r="D132" i="25"/>
  <c r="E132" i="25"/>
  <c r="G135" i="10"/>
  <c r="D136" i="10"/>
  <c r="E136" i="10"/>
  <c r="D125" i="40"/>
  <c r="E125" i="40"/>
  <c r="G124" i="40"/>
  <c r="D129" i="27"/>
  <c r="E129" i="27"/>
  <c r="G128" i="27"/>
  <c r="J131" i="4"/>
  <c r="E128" i="28"/>
  <c r="G127" i="28"/>
  <c r="D128" i="28"/>
  <c r="G132" i="4"/>
  <c r="D133" i="4"/>
  <c r="E133" i="4"/>
  <c r="J123" i="43"/>
  <c r="H128" i="29"/>
  <c r="I128" i="29"/>
  <c r="F129" i="29"/>
  <c r="B129" i="29"/>
  <c r="G125" i="44"/>
  <c r="D126" i="44"/>
  <c r="B54" i="8"/>
  <c r="F54" i="8"/>
  <c r="G54" i="8" s="1"/>
  <c r="B45" i="40"/>
  <c r="F45" i="40"/>
  <c r="G45" i="40" s="1"/>
  <c r="F54" i="3"/>
  <c r="B54" i="3"/>
  <c r="H49" i="29"/>
  <c r="I49" i="29" s="1"/>
  <c r="F54" i="4"/>
  <c r="H54" i="4" s="1"/>
  <c r="B54" i="4"/>
  <c r="B50" i="24"/>
  <c r="F50" i="24"/>
  <c r="G50" i="24" s="1"/>
  <c r="H50" i="24"/>
  <c r="F56" i="11"/>
  <c r="H56" i="11" s="1"/>
  <c r="B56" i="11"/>
  <c r="B125" i="39"/>
  <c r="F125" i="39"/>
  <c r="F45" i="37"/>
  <c r="H45" i="37" s="1"/>
  <c r="B45" i="37"/>
  <c r="B46" i="13"/>
  <c r="F56" i="10"/>
  <c r="G56" i="10"/>
  <c r="B56" i="10"/>
  <c r="D127" i="13"/>
  <c r="G126" i="13"/>
  <c r="B45" i="38"/>
  <c r="F45" i="38"/>
  <c r="G45" i="38" s="1"/>
  <c r="F44" i="42"/>
  <c r="B44" i="42"/>
  <c r="D125" i="43"/>
  <c r="G124" i="43"/>
  <c r="E125" i="43"/>
  <c r="E46" i="13"/>
  <c r="F46" i="13" s="1"/>
  <c r="F57" i="7"/>
  <c r="G57" i="7" s="1"/>
  <c r="B57" i="7"/>
  <c r="H54" i="5"/>
  <c r="B54" i="5"/>
  <c r="F54" i="5"/>
  <c r="G54" i="5" s="1"/>
  <c r="J123" i="41"/>
  <c r="E129" i="31"/>
  <c r="G128" i="31"/>
  <c r="D129" i="31"/>
  <c r="I44" i="37"/>
  <c r="F46" i="39"/>
  <c r="H46" i="39" s="1"/>
  <c r="B46" i="39"/>
  <c r="B44" i="45"/>
  <c r="F44" i="45"/>
  <c r="G44" i="45" s="1"/>
  <c r="B51" i="23"/>
  <c r="F51" i="23"/>
  <c r="G124" i="41"/>
  <c r="D125" i="41"/>
  <c r="E125" i="41"/>
  <c r="J123" i="45"/>
  <c r="B45" i="43"/>
  <c r="F45" i="43"/>
  <c r="H45" i="43" s="1"/>
  <c r="D50" i="29"/>
  <c r="E50" i="29"/>
  <c r="I44" i="38"/>
  <c r="D48" i="31"/>
  <c r="E48" i="31"/>
  <c r="F47" i="30"/>
  <c r="H47" i="30" s="1"/>
  <c r="B47" i="30"/>
  <c r="J127" i="31"/>
  <c r="B52" i="25"/>
  <c r="F52" i="25"/>
  <c r="H52" i="25" s="1"/>
  <c r="D125" i="45"/>
  <c r="G124" i="45"/>
  <c r="F48" i="28"/>
  <c r="G48" i="28" s="1"/>
  <c r="B48" i="28"/>
  <c r="H124" i="39"/>
  <c r="I124" i="39"/>
  <c r="B52" i="22"/>
  <c r="F52" i="22"/>
  <c r="G52" i="22" s="1"/>
  <c r="G47" i="31"/>
  <c r="I47" i="31" s="1"/>
  <c r="G45" i="41"/>
  <c r="H45" i="41"/>
  <c r="I45" i="41" s="1"/>
  <c r="B45" i="41"/>
  <c r="F45" i="41"/>
  <c r="D126" i="42" l="1"/>
  <c r="G125" i="42"/>
  <c r="H57" i="7"/>
  <c r="I57" i="7" s="1"/>
  <c r="J124" i="42"/>
  <c r="B56" i="9"/>
  <c r="F56" i="9"/>
  <c r="H56" i="9" s="1"/>
  <c r="G47" i="30"/>
  <c r="I47" i="30" s="1"/>
  <c r="G45" i="37"/>
  <c r="I45" i="37" s="1"/>
  <c r="H45" i="40"/>
  <c r="I45" i="40" s="1"/>
  <c r="H54" i="8"/>
  <c r="H45" i="38"/>
  <c r="I45" i="38" s="1"/>
  <c r="F49" i="27"/>
  <c r="H49" i="27" s="1"/>
  <c r="B49" i="27"/>
  <c r="J124" i="38"/>
  <c r="G54" i="6"/>
  <c r="I54" i="6" s="1"/>
  <c r="D55" i="6"/>
  <c r="E55" i="6"/>
  <c r="D45" i="44"/>
  <c r="E45" i="44"/>
  <c r="B127" i="30"/>
  <c r="F127" i="30"/>
  <c r="B133" i="4"/>
  <c r="F133" i="4"/>
  <c r="F129" i="27"/>
  <c r="B129" i="27"/>
  <c r="F132" i="25"/>
  <c r="B132" i="25"/>
  <c r="B125" i="37"/>
  <c r="F125" i="37"/>
  <c r="I133" i="8"/>
  <c r="H133" i="8"/>
  <c r="E126" i="38"/>
  <c r="G125" i="38"/>
  <c r="D126" i="38"/>
  <c r="B136" i="7"/>
  <c r="F136" i="7"/>
  <c r="H132" i="3"/>
  <c r="I132" i="3"/>
  <c r="J132" i="3" s="1"/>
  <c r="B125" i="40"/>
  <c r="F125" i="40"/>
  <c r="F135" i="9"/>
  <c r="B135" i="9"/>
  <c r="I130" i="23"/>
  <c r="J130" i="23" s="1"/>
  <c r="J155" i="23" s="1"/>
  <c r="H130" i="23"/>
  <c r="H134" i="11"/>
  <c r="I134" i="11"/>
  <c r="F132" i="22"/>
  <c r="B132" i="22"/>
  <c r="I132" i="4"/>
  <c r="H132" i="4"/>
  <c r="I124" i="40"/>
  <c r="H124" i="40"/>
  <c r="F136" i="10"/>
  <c r="B136" i="10"/>
  <c r="H131" i="25"/>
  <c r="I131" i="25"/>
  <c r="I132" i="5"/>
  <c r="H132" i="5"/>
  <c r="H129" i="24"/>
  <c r="I129" i="24"/>
  <c r="F134" i="8"/>
  <c r="B134" i="8"/>
  <c r="I134" i="9"/>
  <c r="H134" i="9"/>
  <c r="F131" i="23"/>
  <c r="B131" i="23"/>
  <c r="B135" i="11"/>
  <c r="F135" i="11"/>
  <c r="H135" i="7"/>
  <c r="I135" i="7"/>
  <c r="J135" i="7" s="1"/>
  <c r="I133" i="6"/>
  <c r="J133" i="6" s="1"/>
  <c r="H133" i="6"/>
  <c r="I126" i="30"/>
  <c r="H126" i="30"/>
  <c r="B133" i="3"/>
  <c r="F133" i="3"/>
  <c r="I127" i="28"/>
  <c r="H127" i="28"/>
  <c r="F134" i="6"/>
  <c r="B134" i="6"/>
  <c r="J124" i="39"/>
  <c r="F128" i="28"/>
  <c r="B128" i="28"/>
  <c r="H128" i="27"/>
  <c r="I128" i="27"/>
  <c r="H135" i="10"/>
  <c r="I135" i="10"/>
  <c r="J135" i="10" s="1"/>
  <c r="H124" i="37"/>
  <c r="I124" i="37"/>
  <c r="F133" i="5"/>
  <c r="B133" i="5"/>
  <c r="B130" i="24"/>
  <c r="F130" i="24"/>
  <c r="H131" i="22"/>
  <c r="I131" i="22"/>
  <c r="E130" i="29"/>
  <c r="G129" i="29"/>
  <c r="D130" i="29"/>
  <c r="J128" i="29"/>
  <c r="D47" i="13"/>
  <c r="E47" i="13" s="1"/>
  <c r="H46" i="13"/>
  <c r="G46" i="13"/>
  <c r="D55" i="3"/>
  <c r="E55" i="3"/>
  <c r="G52" i="25"/>
  <c r="I52" i="25" s="1"/>
  <c r="F48" i="31"/>
  <c r="G48" i="31" s="1"/>
  <c r="B48" i="31"/>
  <c r="E46" i="43"/>
  <c r="D46" i="43"/>
  <c r="D55" i="4"/>
  <c r="E55" i="4"/>
  <c r="G54" i="3"/>
  <c r="I54" i="8"/>
  <c r="B129" i="31"/>
  <c r="F129" i="31"/>
  <c r="D57" i="11"/>
  <c r="E57" i="11"/>
  <c r="D45" i="45"/>
  <c r="E45" i="45"/>
  <c r="D53" i="22"/>
  <c r="E53" i="22"/>
  <c r="G45" i="43"/>
  <c r="I45" i="43" s="1"/>
  <c r="I124" i="41"/>
  <c r="H124" i="41"/>
  <c r="H44" i="45"/>
  <c r="I44" i="45" s="1"/>
  <c r="I128" i="31"/>
  <c r="H128" i="31"/>
  <c r="H124" i="43"/>
  <c r="I124" i="43"/>
  <c r="D57" i="10"/>
  <c r="E57" i="10"/>
  <c r="I50" i="24"/>
  <c r="E55" i="8"/>
  <c r="D55" i="8"/>
  <c r="B125" i="45"/>
  <c r="D45" i="42"/>
  <c r="E45" i="42"/>
  <c r="H52" i="22"/>
  <c r="I52" i="22" s="1"/>
  <c r="E52" i="23"/>
  <c r="D52" i="23"/>
  <c r="F125" i="43"/>
  <c r="B125" i="43"/>
  <c r="H56" i="10"/>
  <c r="I56" i="10" s="1"/>
  <c r="D46" i="37"/>
  <c r="E46" i="37"/>
  <c r="D51" i="24"/>
  <c r="E51" i="24"/>
  <c r="D46" i="40"/>
  <c r="E46" i="40"/>
  <c r="D53" i="25"/>
  <c r="E53" i="25"/>
  <c r="G125" i="39"/>
  <c r="E126" i="39"/>
  <c r="D126" i="39"/>
  <c r="B126" i="44"/>
  <c r="B127" i="13"/>
  <c r="F125" i="41"/>
  <c r="B125" i="41"/>
  <c r="E125" i="45"/>
  <c r="F125" i="45" s="1"/>
  <c r="F50" i="29"/>
  <c r="H50" i="29" s="1"/>
  <c r="B50" i="29"/>
  <c r="G51" i="23"/>
  <c r="D47" i="39"/>
  <c r="E47" i="39"/>
  <c r="G44" i="42"/>
  <c r="H126" i="13"/>
  <c r="I126" i="13"/>
  <c r="H125" i="44"/>
  <c r="I125" i="44"/>
  <c r="D49" i="28"/>
  <c r="E49" i="28"/>
  <c r="D46" i="41"/>
  <c r="E46" i="41"/>
  <c r="H48" i="28"/>
  <c r="I48" i="28" s="1"/>
  <c r="I124" i="45"/>
  <c r="H124" i="45"/>
  <c r="D48" i="30"/>
  <c r="E48" i="30"/>
  <c r="H51" i="23"/>
  <c r="G46" i="39"/>
  <c r="I46" i="39" s="1"/>
  <c r="D55" i="5"/>
  <c r="E55" i="5"/>
  <c r="D58" i="7"/>
  <c r="E58" i="7"/>
  <c r="H44" i="42"/>
  <c r="D46" i="38"/>
  <c r="E46" i="38"/>
  <c r="E127" i="13"/>
  <c r="F127" i="13" s="1"/>
  <c r="G56" i="11"/>
  <c r="I56" i="11" s="1"/>
  <c r="G54" i="4"/>
  <c r="I54" i="4" s="1"/>
  <c r="H54" i="3"/>
  <c r="I54" i="3" s="1"/>
  <c r="E126" i="44"/>
  <c r="F126" i="44" s="1"/>
  <c r="H125" i="42" l="1"/>
  <c r="I125" i="42"/>
  <c r="J125" i="42" s="1"/>
  <c r="H48" i="31"/>
  <c r="E126" i="42"/>
  <c r="F126" i="42" s="1"/>
  <c r="B126" i="42"/>
  <c r="G56" i="9"/>
  <c r="G50" i="29"/>
  <c r="I50" i="29" s="1"/>
  <c r="B55" i="6"/>
  <c r="F55" i="6"/>
  <c r="H55" i="6" s="1"/>
  <c r="B45" i="44"/>
  <c r="F45" i="44"/>
  <c r="D50" i="27"/>
  <c r="E50" i="27"/>
  <c r="I56" i="9"/>
  <c r="J124" i="40"/>
  <c r="G49" i="27"/>
  <c r="I49" i="27" s="1"/>
  <c r="D57" i="9"/>
  <c r="E57" i="9"/>
  <c r="E129" i="28"/>
  <c r="G128" i="28"/>
  <c r="D129" i="28"/>
  <c r="B126" i="38"/>
  <c r="F126" i="38"/>
  <c r="J133" i="8"/>
  <c r="D133" i="25"/>
  <c r="E133" i="25"/>
  <c r="G132" i="25"/>
  <c r="G132" i="22"/>
  <c r="D133" i="22"/>
  <c r="E133" i="22"/>
  <c r="G133" i="4"/>
  <c r="E134" i="4"/>
  <c r="D134" i="4"/>
  <c r="D134" i="5"/>
  <c r="E134" i="5"/>
  <c r="G133" i="5"/>
  <c r="G130" i="24"/>
  <c r="E131" i="24"/>
  <c r="D131" i="24"/>
  <c r="J124" i="37"/>
  <c r="J128" i="27"/>
  <c r="J127" i="28"/>
  <c r="J126" i="30"/>
  <c r="E132" i="23"/>
  <c r="G131" i="23"/>
  <c r="D132" i="23"/>
  <c r="G134" i="8"/>
  <c r="E135" i="8"/>
  <c r="D135" i="8"/>
  <c r="J132" i="5"/>
  <c r="G136" i="10"/>
  <c r="E137" i="10"/>
  <c r="D137" i="10"/>
  <c r="J132" i="4"/>
  <c r="D136" i="9"/>
  <c r="E136" i="9"/>
  <c r="G135" i="9"/>
  <c r="H125" i="38"/>
  <c r="I125" i="38"/>
  <c r="D126" i="37"/>
  <c r="G125" i="37"/>
  <c r="E126" i="37"/>
  <c r="G127" i="30"/>
  <c r="E128" i="30"/>
  <c r="D128" i="30"/>
  <c r="E135" i="6"/>
  <c r="D135" i="6"/>
  <c r="G134" i="6"/>
  <c r="J124" i="43"/>
  <c r="G133" i="3"/>
  <c r="E134" i="3"/>
  <c r="D134" i="3"/>
  <c r="D136" i="11"/>
  <c r="G135" i="11"/>
  <c r="E136" i="11"/>
  <c r="J129" i="24"/>
  <c r="J131" i="25"/>
  <c r="E126" i="40"/>
  <c r="D126" i="40"/>
  <c r="G125" i="40"/>
  <c r="E137" i="7"/>
  <c r="D137" i="7"/>
  <c r="G136" i="7"/>
  <c r="E130" i="27"/>
  <c r="D130" i="27"/>
  <c r="G129" i="27"/>
  <c r="B130" i="29"/>
  <c r="F130" i="29"/>
  <c r="H129" i="29"/>
  <c r="I129" i="29"/>
  <c r="J129" i="29" s="1"/>
  <c r="J126" i="13"/>
  <c r="G125" i="45"/>
  <c r="D126" i="45"/>
  <c r="E126" i="45" s="1"/>
  <c r="G127" i="13"/>
  <c r="D128" i="13"/>
  <c r="E128" i="13" s="1"/>
  <c r="G126" i="44"/>
  <c r="D127" i="44"/>
  <c r="B58" i="7"/>
  <c r="G58" i="7"/>
  <c r="F58" i="7"/>
  <c r="H58" i="7"/>
  <c r="F48" i="30"/>
  <c r="H48" i="30" s="1"/>
  <c r="B48" i="30"/>
  <c r="F53" i="25"/>
  <c r="H53" i="25" s="1"/>
  <c r="G53" i="25"/>
  <c r="B53" i="25"/>
  <c r="F51" i="24"/>
  <c r="G51" i="24" s="1"/>
  <c r="B51" i="24"/>
  <c r="B55" i="3"/>
  <c r="F55" i="3"/>
  <c r="H55" i="3" s="1"/>
  <c r="F46" i="40"/>
  <c r="H46" i="40" s="1"/>
  <c r="B46" i="40"/>
  <c r="B55" i="8"/>
  <c r="F55" i="8"/>
  <c r="B53" i="22"/>
  <c r="F53" i="22"/>
  <c r="H53" i="22" s="1"/>
  <c r="D130" i="31"/>
  <c r="G129" i="31"/>
  <c r="E130" i="31"/>
  <c r="F55" i="4"/>
  <c r="G55" i="4" s="1"/>
  <c r="H55" i="4"/>
  <c r="B55" i="4"/>
  <c r="D49" i="31"/>
  <c r="E49" i="31"/>
  <c r="F55" i="5"/>
  <c r="G55" i="5" s="1"/>
  <c r="B55" i="5"/>
  <c r="D126" i="41"/>
  <c r="G125" i="41"/>
  <c r="E126" i="41"/>
  <c r="B46" i="41"/>
  <c r="F46" i="41"/>
  <c r="H46" i="41" s="1"/>
  <c r="B126" i="39"/>
  <c r="F126" i="39"/>
  <c r="F46" i="37"/>
  <c r="G46" i="37" s="1"/>
  <c r="B46" i="37"/>
  <c r="J128" i="31"/>
  <c r="I46" i="13"/>
  <c r="J124" i="45"/>
  <c r="I51" i="23"/>
  <c r="J125" i="44"/>
  <c r="D51" i="29"/>
  <c r="E51" i="29"/>
  <c r="G125" i="43"/>
  <c r="D126" i="43"/>
  <c r="E126" i="43"/>
  <c r="F57" i="11"/>
  <c r="G57" i="11" s="1"/>
  <c r="B57" i="11"/>
  <c r="H125" i="39"/>
  <c r="I125" i="39"/>
  <c r="F52" i="23"/>
  <c r="H52" i="23" s="1"/>
  <c r="B52" i="23"/>
  <c r="F57" i="10"/>
  <c r="G57" i="10" s="1"/>
  <c r="B57" i="10"/>
  <c r="B46" i="43"/>
  <c r="F46" i="43"/>
  <c r="H46" i="43" s="1"/>
  <c r="G46" i="43"/>
  <c r="B47" i="13"/>
  <c r="F47" i="13"/>
  <c r="H47" i="13" s="1"/>
  <c r="G47" i="13"/>
  <c r="I48" i="31"/>
  <c r="B46" i="38"/>
  <c r="F46" i="38"/>
  <c r="B49" i="28"/>
  <c r="F49" i="28"/>
  <c r="H49" i="28" s="1"/>
  <c r="I44" i="42"/>
  <c r="J124" i="41"/>
  <c r="F45" i="45"/>
  <c r="G45" i="45" s="1"/>
  <c r="H45" i="45"/>
  <c r="B45" i="45"/>
  <c r="F47" i="39"/>
  <c r="G47" i="39" s="1"/>
  <c r="B47" i="39"/>
  <c r="B45" i="42"/>
  <c r="F45" i="42"/>
  <c r="H45" i="42" s="1"/>
  <c r="G126" i="42" l="1"/>
  <c r="D127" i="42"/>
  <c r="B127" i="42" s="1"/>
  <c r="E127" i="42"/>
  <c r="F127" i="42" s="1"/>
  <c r="G46" i="41"/>
  <c r="I46" i="41" s="1"/>
  <c r="I47" i="13"/>
  <c r="I46" i="43"/>
  <c r="G53" i="22"/>
  <c r="I53" i="22" s="1"/>
  <c r="F50" i="27"/>
  <c r="B50" i="27"/>
  <c r="H50" i="27"/>
  <c r="H45" i="44"/>
  <c r="D46" i="44"/>
  <c r="E46" i="44"/>
  <c r="H57" i="10"/>
  <c r="I57" i="10" s="1"/>
  <c r="G46" i="40"/>
  <c r="I46" i="40" s="1"/>
  <c r="I58" i="7"/>
  <c r="B57" i="9"/>
  <c r="F57" i="9"/>
  <c r="I55" i="6"/>
  <c r="I53" i="25"/>
  <c r="G55" i="6"/>
  <c r="E56" i="6"/>
  <c r="D56" i="6"/>
  <c r="G45" i="42"/>
  <c r="H57" i="11"/>
  <c r="G55" i="3"/>
  <c r="I55" i="3" s="1"/>
  <c r="G45" i="44"/>
  <c r="F137" i="7"/>
  <c r="B137" i="7"/>
  <c r="H135" i="11"/>
  <c r="I135" i="11"/>
  <c r="H133" i="3"/>
  <c r="I133" i="3"/>
  <c r="J133" i="3" s="1"/>
  <c r="B132" i="23"/>
  <c r="F132" i="23"/>
  <c r="F134" i="5"/>
  <c r="B134" i="5"/>
  <c r="F130" i="27"/>
  <c r="B130" i="27"/>
  <c r="F136" i="11"/>
  <c r="B136" i="11"/>
  <c r="B128" i="30"/>
  <c r="F128" i="30"/>
  <c r="I125" i="37"/>
  <c r="H125" i="37"/>
  <c r="H135" i="9"/>
  <c r="I135" i="9"/>
  <c r="F137" i="10"/>
  <c r="B137" i="10"/>
  <c r="B135" i="8"/>
  <c r="F135" i="8"/>
  <c r="H131" i="23"/>
  <c r="I131" i="23"/>
  <c r="H130" i="24"/>
  <c r="I130" i="24"/>
  <c r="J130" i="24" s="1"/>
  <c r="J155" i="24" s="1"/>
  <c r="B134" i="4"/>
  <c r="F134" i="4"/>
  <c r="F133" i="22"/>
  <c r="B133" i="22"/>
  <c r="B133" i="25"/>
  <c r="F133" i="25"/>
  <c r="F129" i="28"/>
  <c r="B129" i="28"/>
  <c r="I125" i="40"/>
  <c r="H125" i="40"/>
  <c r="F134" i="3"/>
  <c r="B134" i="3"/>
  <c r="H134" i="6"/>
  <c r="I134" i="6"/>
  <c r="J134" i="6" s="1"/>
  <c r="F126" i="37"/>
  <c r="B126" i="37"/>
  <c r="I133" i="5"/>
  <c r="H133" i="5"/>
  <c r="I132" i="22"/>
  <c r="H132" i="22"/>
  <c r="I128" i="28"/>
  <c r="H128" i="28"/>
  <c r="I129" i="27"/>
  <c r="H129" i="27"/>
  <c r="H136" i="7"/>
  <c r="I136" i="7"/>
  <c r="J136" i="7" s="1"/>
  <c r="B126" i="40"/>
  <c r="F126" i="40"/>
  <c r="B135" i="6"/>
  <c r="F135" i="6"/>
  <c r="H127" i="30"/>
  <c r="I127" i="30"/>
  <c r="J127" i="30" s="1"/>
  <c r="J125" i="38"/>
  <c r="F136" i="9"/>
  <c r="B136" i="9"/>
  <c r="I136" i="10"/>
  <c r="J136" i="10" s="1"/>
  <c r="H136" i="10"/>
  <c r="I134" i="8"/>
  <c r="H134" i="8"/>
  <c r="F131" i="24"/>
  <c r="B131" i="24"/>
  <c r="I133" i="4"/>
  <c r="H133" i="4"/>
  <c r="I132" i="25"/>
  <c r="J132" i="25" s="1"/>
  <c r="J155" i="25" s="1"/>
  <c r="H132" i="25"/>
  <c r="E127" i="38"/>
  <c r="G126" i="38"/>
  <c r="D127" i="38"/>
  <c r="D131" i="29"/>
  <c r="G130" i="29"/>
  <c r="E131" i="29"/>
  <c r="J125" i="39"/>
  <c r="D48" i="13"/>
  <c r="G52" i="23"/>
  <c r="I52" i="23" s="1"/>
  <c r="D47" i="37"/>
  <c r="E47" i="37"/>
  <c r="H55" i="5"/>
  <c r="I55" i="4"/>
  <c r="G48" i="30"/>
  <c r="I48" i="30" s="1"/>
  <c r="B127" i="44"/>
  <c r="G49" i="28"/>
  <c r="I49" i="28" s="1"/>
  <c r="H46" i="37"/>
  <c r="I46" i="37" s="1"/>
  <c r="D47" i="41"/>
  <c r="E47" i="41"/>
  <c r="D56" i="4"/>
  <c r="E56" i="4"/>
  <c r="I126" i="44"/>
  <c r="H126" i="44"/>
  <c r="H51" i="24"/>
  <c r="I51" i="24" s="1"/>
  <c r="D54" i="25"/>
  <c r="E54" i="25"/>
  <c r="H127" i="13"/>
  <c r="I127" i="13"/>
  <c r="E47" i="38"/>
  <c r="D47" i="38"/>
  <c r="D49" i="30"/>
  <c r="E49" i="30"/>
  <c r="D48" i="39"/>
  <c r="E48" i="39"/>
  <c r="G127" i="42"/>
  <c r="D128" i="42"/>
  <c r="E128" i="42" s="1"/>
  <c r="G46" i="38"/>
  <c r="I129" i="31"/>
  <c r="H129" i="31"/>
  <c r="D56" i="8"/>
  <c r="E56" i="8"/>
  <c r="D59" i="7"/>
  <c r="E59" i="7"/>
  <c r="I57" i="11"/>
  <c r="F128" i="13"/>
  <c r="B128" i="13"/>
  <c r="I45" i="45"/>
  <c r="D58" i="11"/>
  <c r="E58" i="11"/>
  <c r="H46" i="38"/>
  <c r="F126" i="43"/>
  <c r="B126" i="43"/>
  <c r="H125" i="41"/>
  <c r="I125" i="41"/>
  <c r="B130" i="31"/>
  <c r="F130" i="31"/>
  <c r="D47" i="40"/>
  <c r="E47" i="40"/>
  <c r="D53" i="23"/>
  <c r="E53" i="23"/>
  <c r="D56" i="5"/>
  <c r="E56" i="5"/>
  <c r="E52" i="24"/>
  <c r="D52" i="24"/>
  <c r="I45" i="42"/>
  <c r="H47" i="39"/>
  <c r="I47" i="39" s="1"/>
  <c r="D46" i="42"/>
  <c r="E46" i="42"/>
  <c r="D47" i="43"/>
  <c r="E47" i="43"/>
  <c r="D58" i="10"/>
  <c r="E58" i="10"/>
  <c r="I125" i="43"/>
  <c r="H125" i="43"/>
  <c r="D127" i="39"/>
  <c r="G126" i="39"/>
  <c r="E127" i="39"/>
  <c r="B126" i="41"/>
  <c r="F126" i="41"/>
  <c r="F49" i="31"/>
  <c r="H49" i="31" s="1"/>
  <c r="B49" i="31"/>
  <c r="D54" i="22"/>
  <c r="E54" i="22"/>
  <c r="H55" i="8"/>
  <c r="F126" i="45"/>
  <c r="B126" i="45"/>
  <c r="E46" i="45"/>
  <c r="D46" i="45"/>
  <c r="E50" i="28"/>
  <c r="D50" i="28"/>
  <c r="B51" i="29"/>
  <c r="F51" i="29"/>
  <c r="H51" i="29" s="1"/>
  <c r="G55" i="8"/>
  <c r="D56" i="3"/>
  <c r="E56" i="3"/>
  <c r="E127" i="44"/>
  <c r="F127" i="44" s="1"/>
  <c r="I125" i="45"/>
  <c r="H125" i="45"/>
  <c r="I126" i="42" l="1"/>
  <c r="J126" i="42" s="1"/>
  <c r="H126" i="42"/>
  <c r="I45" i="44"/>
  <c r="E58" i="9"/>
  <c r="D58" i="9"/>
  <c r="G49" i="31"/>
  <c r="I49" i="31" s="1"/>
  <c r="H57" i="9"/>
  <c r="B56" i="6"/>
  <c r="F56" i="6"/>
  <c r="H56" i="6" s="1"/>
  <c r="G57" i="9"/>
  <c r="F46" i="44"/>
  <c r="H46" i="44" s="1"/>
  <c r="B46" i="44"/>
  <c r="G50" i="27"/>
  <c r="I50" i="27" s="1"/>
  <c r="E51" i="27"/>
  <c r="D51" i="27"/>
  <c r="D127" i="40"/>
  <c r="E127" i="40"/>
  <c r="G126" i="40"/>
  <c r="E136" i="8"/>
  <c r="G135" i="8"/>
  <c r="D136" i="8"/>
  <c r="H126" i="38"/>
  <c r="I126" i="38"/>
  <c r="J129" i="27"/>
  <c r="E127" i="37"/>
  <c r="D127" i="37"/>
  <c r="G126" i="37"/>
  <c r="E135" i="3"/>
  <c r="G134" i="3"/>
  <c r="D135" i="3"/>
  <c r="E130" i="28"/>
  <c r="D130" i="28"/>
  <c r="G129" i="28"/>
  <c r="D134" i="22"/>
  <c r="G133" i="22"/>
  <c r="E134" i="22"/>
  <c r="D131" i="27"/>
  <c r="E131" i="27"/>
  <c r="G130" i="27"/>
  <c r="B127" i="38"/>
  <c r="F127" i="38"/>
  <c r="D132" i="24"/>
  <c r="G131" i="24"/>
  <c r="E132" i="24"/>
  <c r="G128" i="30"/>
  <c r="E129" i="30"/>
  <c r="D129" i="30"/>
  <c r="J133" i="4"/>
  <c r="J134" i="8"/>
  <c r="E137" i="9"/>
  <c r="D137" i="9"/>
  <c r="G136" i="9"/>
  <c r="E136" i="6"/>
  <c r="G135" i="6"/>
  <c r="D136" i="6"/>
  <c r="E134" i="25"/>
  <c r="D134" i="25"/>
  <c r="G133" i="25"/>
  <c r="G134" i="4"/>
  <c r="D135" i="4"/>
  <c r="E135" i="4"/>
  <c r="E133" i="23"/>
  <c r="G132" i="23"/>
  <c r="D133" i="23"/>
  <c r="J128" i="28"/>
  <c r="J133" i="5"/>
  <c r="J125" i="40"/>
  <c r="D138" i="10"/>
  <c r="E138" i="10"/>
  <c r="G137" i="10"/>
  <c r="J125" i="37"/>
  <c r="E137" i="11"/>
  <c r="G136" i="11"/>
  <c r="D137" i="11"/>
  <c r="E135" i="5"/>
  <c r="G134" i="5"/>
  <c r="D135" i="5"/>
  <c r="D138" i="7"/>
  <c r="E138" i="7"/>
  <c r="G137" i="7"/>
  <c r="J127" i="13"/>
  <c r="H130" i="29"/>
  <c r="I130" i="29"/>
  <c r="B131" i="29"/>
  <c r="F131" i="29"/>
  <c r="D128" i="44"/>
  <c r="E128" i="44" s="1"/>
  <c r="G127" i="44"/>
  <c r="G126" i="45"/>
  <c r="D127" i="45"/>
  <c r="E127" i="45" s="1"/>
  <c r="B54" i="22"/>
  <c r="F54" i="22"/>
  <c r="H54" i="22" s="1"/>
  <c r="I126" i="39"/>
  <c r="H126" i="39"/>
  <c r="J125" i="41"/>
  <c r="I46" i="38"/>
  <c r="F128" i="42"/>
  <c r="B128" i="42"/>
  <c r="F54" i="25"/>
  <c r="G54" i="25" s="1"/>
  <c r="B54" i="25"/>
  <c r="J126" i="44"/>
  <c r="I127" i="42"/>
  <c r="H127" i="42"/>
  <c r="F49" i="30"/>
  <c r="G49" i="30" s="1"/>
  <c r="B49" i="30"/>
  <c r="B48" i="39"/>
  <c r="F48" i="39"/>
  <c r="H48" i="39" s="1"/>
  <c r="B52" i="24"/>
  <c r="F52" i="24"/>
  <c r="H52" i="24" s="1"/>
  <c r="G128" i="13"/>
  <c r="D129" i="13"/>
  <c r="E129" i="13" s="1"/>
  <c r="F47" i="38"/>
  <c r="H47" i="38" s="1"/>
  <c r="B47" i="38"/>
  <c r="B56" i="4"/>
  <c r="F56" i="4"/>
  <c r="G56" i="4" s="1"/>
  <c r="B47" i="37"/>
  <c r="F47" i="37"/>
  <c r="G47" i="37" s="1"/>
  <c r="D52" i="29"/>
  <c r="E52" i="29"/>
  <c r="G51" i="29"/>
  <c r="I51" i="29" s="1"/>
  <c r="B46" i="42"/>
  <c r="F46" i="42"/>
  <c r="G46" i="42" s="1"/>
  <c r="B56" i="8"/>
  <c r="F56" i="8"/>
  <c r="H56" i="8" s="1"/>
  <c r="B48" i="13"/>
  <c r="B47" i="43"/>
  <c r="F47" i="43"/>
  <c r="H47" i="43" s="1"/>
  <c r="G126" i="43"/>
  <c r="D127" i="43"/>
  <c r="E127" i="43"/>
  <c r="B127" i="39"/>
  <c r="F127" i="39"/>
  <c r="B58" i="11"/>
  <c r="F58" i="11"/>
  <c r="F47" i="41"/>
  <c r="G47" i="41" s="1"/>
  <c r="B47" i="41"/>
  <c r="E48" i="13"/>
  <c r="F48" i="13" s="1"/>
  <c r="B56" i="3"/>
  <c r="F56" i="3"/>
  <c r="H56" i="3" s="1"/>
  <c r="D50" i="31"/>
  <c r="E50" i="31"/>
  <c r="G126" i="41"/>
  <c r="D127" i="41"/>
  <c r="E127" i="41"/>
  <c r="F58" i="10"/>
  <c r="G58" i="10" s="1"/>
  <c r="H58" i="10"/>
  <c r="B58" i="10"/>
  <c r="B56" i="5"/>
  <c r="F56" i="5"/>
  <c r="G56" i="5" s="1"/>
  <c r="B47" i="40"/>
  <c r="F47" i="40"/>
  <c r="H47" i="40" s="1"/>
  <c r="F59" i="7"/>
  <c r="B59" i="7"/>
  <c r="J129" i="31"/>
  <c r="F53" i="23"/>
  <c r="G53" i="23" s="1"/>
  <c r="B53" i="23"/>
  <c r="F46" i="45"/>
  <c r="H46" i="45" s="1"/>
  <c r="B46" i="45"/>
  <c r="J125" i="43"/>
  <c r="J125" i="45"/>
  <c r="B50" i="28"/>
  <c r="F50" i="28"/>
  <c r="G50" i="28" s="1"/>
  <c r="I55" i="8"/>
  <c r="E131" i="31"/>
  <c r="G130" i="31"/>
  <c r="D131" i="31"/>
  <c r="H46" i="42" l="1"/>
  <c r="I46" i="42" s="1"/>
  <c r="G56" i="3"/>
  <c r="J126" i="38"/>
  <c r="G48" i="39"/>
  <c r="I48" i="39" s="1"/>
  <c r="H50" i="28"/>
  <c r="I57" i="9"/>
  <c r="H47" i="41"/>
  <c r="I47" i="41" s="1"/>
  <c r="G52" i="24"/>
  <c r="I52" i="24" s="1"/>
  <c r="D47" i="44"/>
  <c r="E47" i="44"/>
  <c r="G56" i="6"/>
  <c r="I56" i="6" s="1"/>
  <c r="D57" i="6"/>
  <c r="E57" i="6"/>
  <c r="B58" i="9"/>
  <c r="F58" i="9"/>
  <c r="H58" i="9" s="1"/>
  <c r="B51" i="27"/>
  <c r="F51" i="27"/>
  <c r="G51" i="27" s="1"/>
  <c r="G47" i="40"/>
  <c r="I47" i="40" s="1"/>
  <c r="G46" i="44"/>
  <c r="I46" i="44" s="1"/>
  <c r="H132" i="23"/>
  <c r="I132" i="23"/>
  <c r="F136" i="6"/>
  <c r="B136" i="6"/>
  <c r="H131" i="24"/>
  <c r="I131" i="24"/>
  <c r="I133" i="22"/>
  <c r="H133" i="22"/>
  <c r="B138" i="7"/>
  <c r="F138" i="7"/>
  <c r="F137" i="11"/>
  <c r="B137" i="11"/>
  <c r="H137" i="10"/>
  <c r="I137" i="10"/>
  <c r="J137" i="10" s="1"/>
  <c r="H133" i="25"/>
  <c r="I133" i="25"/>
  <c r="H135" i="6"/>
  <c r="I135" i="6"/>
  <c r="J135" i="6" s="1"/>
  <c r="F132" i="24"/>
  <c r="B132" i="24"/>
  <c r="B134" i="22"/>
  <c r="F134" i="22"/>
  <c r="B135" i="3"/>
  <c r="F135" i="3"/>
  <c r="B127" i="37"/>
  <c r="F127" i="37"/>
  <c r="H126" i="40"/>
  <c r="I126" i="40"/>
  <c r="F137" i="9"/>
  <c r="B137" i="9"/>
  <c r="B135" i="5"/>
  <c r="F135" i="5"/>
  <c r="H136" i="11"/>
  <c r="I136" i="11"/>
  <c r="F134" i="25"/>
  <c r="B134" i="25"/>
  <c r="H128" i="30"/>
  <c r="I128" i="30"/>
  <c r="J128" i="30" s="1"/>
  <c r="E128" i="38"/>
  <c r="D128" i="38"/>
  <c r="G127" i="38"/>
  <c r="F131" i="27"/>
  <c r="B131" i="27"/>
  <c r="H129" i="28"/>
  <c r="I129" i="28"/>
  <c r="H134" i="3"/>
  <c r="I134" i="3"/>
  <c r="B136" i="8"/>
  <c r="F136" i="8"/>
  <c r="H134" i="4"/>
  <c r="I134" i="4"/>
  <c r="B129" i="30"/>
  <c r="F129" i="30"/>
  <c r="H130" i="27"/>
  <c r="I130" i="27"/>
  <c r="I126" i="37"/>
  <c r="H126" i="37"/>
  <c r="H137" i="7"/>
  <c r="I137" i="7"/>
  <c r="I134" i="5"/>
  <c r="J134" i="5" s="1"/>
  <c r="H134" i="5"/>
  <c r="B138" i="10"/>
  <c r="F138" i="10"/>
  <c r="B133" i="23"/>
  <c r="F133" i="23"/>
  <c r="F135" i="4"/>
  <c r="B135" i="4"/>
  <c r="H136" i="9"/>
  <c r="I136" i="9"/>
  <c r="F130" i="28"/>
  <c r="B130" i="28"/>
  <c r="I135" i="8"/>
  <c r="J135" i="8" s="1"/>
  <c r="H135" i="8"/>
  <c r="B127" i="40"/>
  <c r="F127" i="40"/>
  <c r="J126" i="39"/>
  <c r="G131" i="29"/>
  <c r="E132" i="29"/>
  <c r="D132" i="29"/>
  <c r="J130" i="29"/>
  <c r="J127" i="42"/>
  <c r="D49" i="13"/>
  <c r="H48" i="13"/>
  <c r="G48" i="13"/>
  <c r="F127" i="41"/>
  <c r="B127" i="41"/>
  <c r="H126" i="41"/>
  <c r="I126" i="41"/>
  <c r="D59" i="11"/>
  <c r="E59" i="11" s="1"/>
  <c r="I126" i="43"/>
  <c r="H126" i="43"/>
  <c r="D57" i="8"/>
  <c r="E57" i="8"/>
  <c r="F52" i="29"/>
  <c r="B52" i="29"/>
  <c r="E48" i="38"/>
  <c r="D48" i="38"/>
  <c r="D55" i="25"/>
  <c r="E55" i="25"/>
  <c r="D55" i="22"/>
  <c r="E55" i="22"/>
  <c r="F50" i="31"/>
  <c r="G50" i="31" s="1"/>
  <c r="B50" i="31"/>
  <c r="E50" i="30"/>
  <c r="D50" i="30"/>
  <c r="H58" i="11"/>
  <c r="E57" i="4"/>
  <c r="D57" i="4"/>
  <c r="D53" i="24"/>
  <c r="E53" i="24"/>
  <c r="G54" i="22"/>
  <c r="I54" i="22" s="1"/>
  <c r="B127" i="43"/>
  <c r="F127" i="43"/>
  <c r="D47" i="45"/>
  <c r="E47" i="45"/>
  <c r="E48" i="43"/>
  <c r="D48" i="43"/>
  <c r="D48" i="37"/>
  <c r="E48" i="37"/>
  <c r="F129" i="13"/>
  <c r="B129" i="13"/>
  <c r="G128" i="42"/>
  <c r="D129" i="42"/>
  <c r="E129" i="42" s="1"/>
  <c r="D57" i="5"/>
  <c r="E57" i="5"/>
  <c r="G58" i="11"/>
  <c r="I128" i="13"/>
  <c r="H128" i="13"/>
  <c r="I127" i="44"/>
  <c r="H127" i="44"/>
  <c r="D60" i="7"/>
  <c r="E60" i="7" s="1"/>
  <c r="D51" i="28"/>
  <c r="E51" i="28"/>
  <c r="G59" i="7"/>
  <c r="D48" i="40"/>
  <c r="E48" i="40"/>
  <c r="D57" i="3"/>
  <c r="E57" i="3"/>
  <c r="D128" i="39"/>
  <c r="G127" i="39"/>
  <c r="E128" i="39"/>
  <c r="G47" i="43"/>
  <c r="I47" i="43" s="1"/>
  <c r="D47" i="42"/>
  <c r="E47" i="42"/>
  <c r="H47" i="37"/>
  <c r="I47" i="37" s="1"/>
  <c r="H56" i="4"/>
  <c r="I56" i="4" s="1"/>
  <c r="D49" i="39"/>
  <c r="E49" i="39"/>
  <c r="F127" i="45"/>
  <c r="B127" i="45"/>
  <c r="I50" i="28"/>
  <c r="G46" i="45"/>
  <c r="I46" i="45" s="1"/>
  <c r="I58" i="10"/>
  <c r="B131" i="31"/>
  <c r="F131" i="31"/>
  <c r="H59" i="7"/>
  <c r="D59" i="10"/>
  <c r="E59" i="10"/>
  <c r="D48" i="41"/>
  <c r="E48" i="41"/>
  <c r="I126" i="45"/>
  <c r="H126" i="45"/>
  <c r="F128" i="44"/>
  <c r="B128" i="44"/>
  <c r="D54" i="23"/>
  <c r="E54" i="23"/>
  <c r="H130" i="31"/>
  <c r="I130" i="31"/>
  <c r="H53" i="23"/>
  <c r="I53" i="23" s="1"/>
  <c r="H56" i="5"/>
  <c r="I56" i="3"/>
  <c r="G56" i="8"/>
  <c r="I56" i="8" s="1"/>
  <c r="G47" i="38"/>
  <c r="I47" i="38" s="1"/>
  <c r="H49" i="30"/>
  <c r="I49" i="30" s="1"/>
  <c r="H54" i="25"/>
  <c r="I54" i="25" s="1"/>
  <c r="H50" i="31" l="1"/>
  <c r="I50" i="31" s="1"/>
  <c r="J126" i="40"/>
  <c r="J126" i="37"/>
  <c r="I59" i="7"/>
  <c r="B57" i="6"/>
  <c r="F57" i="6"/>
  <c r="E52" i="27"/>
  <c r="D52" i="27"/>
  <c r="E59" i="9"/>
  <c r="D59" i="9"/>
  <c r="J126" i="45"/>
  <c r="H51" i="27"/>
  <c r="I51" i="27" s="1"/>
  <c r="G58" i="9"/>
  <c r="I58" i="9" s="1"/>
  <c r="B47" i="44"/>
  <c r="F47" i="44"/>
  <c r="G47" i="44" s="1"/>
  <c r="F128" i="38"/>
  <c r="B128" i="38"/>
  <c r="E136" i="5"/>
  <c r="D136" i="5"/>
  <c r="G135" i="5"/>
  <c r="D128" i="40"/>
  <c r="G127" i="40"/>
  <c r="E128" i="40"/>
  <c r="D139" i="10"/>
  <c r="G138" i="10"/>
  <c r="E139" i="10"/>
  <c r="J137" i="7"/>
  <c r="J130" i="27"/>
  <c r="J134" i="4"/>
  <c r="J134" i="3"/>
  <c r="E135" i="25"/>
  <c r="D135" i="25"/>
  <c r="G134" i="25"/>
  <c r="E133" i="24"/>
  <c r="G132" i="24"/>
  <c r="D133" i="24"/>
  <c r="D138" i="11"/>
  <c r="E138" i="11"/>
  <c r="G137" i="11"/>
  <c r="G136" i="6"/>
  <c r="D137" i="6"/>
  <c r="E137" i="6"/>
  <c r="G130" i="28"/>
  <c r="E131" i="28"/>
  <c r="D131" i="28"/>
  <c r="D136" i="4"/>
  <c r="E136" i="4"/>
  <c r="G135" i="4"/>
  <c r="E132" i="27"/>
  <c r="G131" i="27"/>
  <c r="D132" i="27"/>
  <c r="D128" i="37"/>
  <c r="E128" i="37"/>
  <c r="G127" i="37"/>
  <c r="E135" i="22"/>
  <c r="G134" i="22"/>
  <c r="D135" i="22"/>
  <c r="G138" i="7"/>
  <c r="E139" i="7"/>
  <c r="D139" i="7"/>
  <c r="D136" i="3"/>
  <c r="E136" i="3"/>
  <c r="G135" i="3"/>
  <c r="D134" i="23"/>
  <c r="G133" i="23"/>
  <c r="E134" i="23"/>
  <c r="D130" i="30"/>
  <c r="G129" i="30"/>
  <c r="E130" i="30"/>
  <c r="D137" i="8"/>
  <c r="E137" i="8"/>
  <c r="G136" i="8"/>
  <c r="J129" i="28"/>
  <c r="I127" i="38"/>
  <c r="H127" i="38"/>
  <c r="D138" i="9"/>
  <c r="E138" i="9"/>
  <c r="G137" i="9"/>
  <c r="H131" i="29"/>
  <c r="I131" i="29"/>
  <c r="J126" i="43"/>
  <c r="J128" i="13"/>
  <c r="B132" i="29"/>
  <c r="F132" i="29"/>
  <c r="D53" i="29"/>
  <c r="E53" i="29"/>
  <c r="D128" i="41"/>
  <c r="G127" i="41"/>
  <c r="E128" i="41"/>
  <c r="B54" i="23"/>
  <c r="F54" i="23"/>
  <c r="H54" i="23" s="1"/>
  <c r="J127" i="44"/>
  <c r="F48" i="43"/>
  <c r="H48" i="43" s="1"/>
  <c r="B48" i="43"/>
  <c r="D51" i="31"/>
  <c r="E51" i="31"/>
  <c r="H52" i="29"/>
  <c r="F57" i="5"/>
  <c r="G57" i="5" s="1"/>
  <c r="H57" i="5"/>
  <c r="B57" i="5"/>
  <c r="F59" i="11"/>
  <c r="G59" i="11" s="1"/>
  <c r="B59" i="11"/>
  <c r="J130" i="31"/>
  <c r="F59" i="10"/>
  <c r="G59" i="10" s="1"/>
  <c r="H59" i="10"/>
  <c r="B59" i="10"/>
  <c r="D128" i="45"/>
  <c r="E128" i="45" s="1"/>
  <c r="G127" i="45"/>
  <c r="F49" i="39"/>
  <c r="H49" i="39" s="1"/>
  <c r="B49" i="39"/>
  <c r="H127" i="39"/>
  <c r="I127" i="39"/>
  <c r="I58" i="11"/>
  <c r="I48" i="13"/>
  <c r="F50" i="30"/>
  <c r="G50" i="30" s="1"/>
  <c r="B50" i="30"/>
  <c r="F55" i="22"/>
  <c r="H55" i="22" s="1"/>
  <c r="B55" i="22"/>
  <c r="B48" i="38"/>
  <c r="F48" i="38"/>
  <c r="H48" i="38" s="1"/>
  <c r="F57" i="8"/>
  <c r="G57" i="8" s="1"/>
  <c r="B57" i="8"/>
  <c r="B49" i="13"/>
  <c r="F57" i="3"/>
  <c r="G57" i="3" s="1"/>
  <c r="H57" i="3"/>
  <c r="B57" i="3"/>
  <c r="F55" i="25"/>
  <c r="G55" i="25" s="1"/>
  <c r="B55" i="25"/>
  <c r="F51" i="28"/>
  <c r="G51" i="28" s="1"/>
  <c r="B51" i="28"/>
  <c r="D128" i="43"/>
  <c r="G127" i="43"/>
  <c r="E128" i="43"/>
  <c r="B48" i="41"/>
  <c r="F48" i="41"/>
  <c r="H48" i="41" s="1"/>
  <c r="G131" i="31"/>
  <c r="E132" i="31"/>
  <c r="D132" i="31"/>
  <c r="B60" i="7"/>
  <c r="F60" i="7"/>
  <c r="H60" i="7" s="1"/>
  <c r="G129" i="13"/>
  <c r="D130" i="13"/>
  <c r="E49" i="13"/>
  <c r="F49" i="13" s="1"/>
  <c r="B57" i="4"/>
  <c r="F57" i="4"/>
  <c r="G57" i="4" s="1"/>
  <c r="B128" i="39"/>
  <c r="F128" i="39"/>
  <c r="F129" i="42"/>
  <c r="B129" i="42"/>
  <c r="B47" i="45"/>
  <c r="F47" i="45"/>
  <c r="H47" i="45" s="1"/>
  <c r="J126" i="41"/>
  <c r="G128" i="44"/>
  <c r="D129" i="44"/>
  <c r="E129" i="44" s="1"/>
  <c r="B48" i="40"/>
  <c r="F48" i="40"/>
  <c r="G48" i="40" s="1"/>
  <c r="F47" i="42"/>
  <c r="H47" i="42" s="1"/>
  <c r="B47" i="42"/>
  <c r="I128" i="42"/>
  <c r="H128" i="42"/>
  <c r="B48" i="37"/>
  <c r="F48" i="37"/>
  <c r="G48" i="37" s="1"/>
  <c r="B53" i="24"/>
  <c r="F53" i="24"/>
  <c r="G53" i="24" s="1"/>
  <c r="G52" i="29"/>
  <c r="G47" i="45" l="1"/>
  <c r="H59" i="11"/>
  <c r="I59" i="11" s="1"/>
  <c r="G47" i="42"/>
  <c r="H53" i="24"/>
  <c r="I53" i="24" s="1"/>
  <c r="H57" i="6"/>
  <c r="E58" i="6"/>
  <c r="D58" i="6"/>
  <c r="G49" i="39"/>
  <c r="I49" i="39" s="1"/>
  <c r="G54" i="23"/>
  <c r="I54" i="23" s="1"/>
  <c r="G57" i="6"/>
  <c r="B59" i="9"/>
  <c r="F59" i="9"/>
  <c r="H59" i="9" s="1"/>
  <c r="H48" i="37"/>
  <c r="H48" i="40"/>
  <c r="H55" i="25"/>
  <c r="I55" i="25" s="1"/>
  <c r="G48" i="38"/>
  <c r="I48" i="38" s="1"/>
  <c r="H47" i="44"/>
  <c r="I47" i="44" s="1"/>
  <c r="D48" i="44"/>
  <c r="E48" i="44"/>
  <c r="F52" i="27"/>
  <c r="H52" i="27" s="1"/>
  <c r="B52" i="27"/>
  <c r="F130" i="30"/>
  <c r="B130" i="30"/>
  <c r="H135" i="3"/>
  <c r="I135" i="3"/>
  <c r="J135" i="3" s="1"/>
  <c r="F132" i="27"/>
  <c r="B132" i="27"/>
  <c r="I130" i="28"/>
  <c r="H130" i="28"/>
  <c r="I137" i="11"/>
  <c r="H137" i="11"/>
  <c r="I132" i="24"/>
  <c r="H132" i="24"/>
  <c r="F136" i="5"/>
  <c r="B136" i="5"/>
  <c r="H137" i="9"/>
  <c r="I137" i="9"/>
  <c r="J127" i="38"/>
  <c r="F137" i="8"/>
  <c r="B137" i="8"/>
  <c r="I138" i="7"/>
  <c r="J138" i="7" s="1"/>
  <c r="H138" i="7"/>
  <c r="I127" i="37"/>
  <c r="H127" i="37"/>
  <c r="H131" i="27"/>
  <c r="I131" i="27"/>
  <c r="B136" i="4"/>
  <c r="F136" i="4"/>
  <c r="H127" i="40"/>
  <c r="I127" i="40"/>
  <c r="H133" i="23"/>
  <c r="I133" i="23"/>
  <c r="B136" i="3"/>
  <c r="F136" i="3"/>
  <c r="F135" i="22"/>
  <c r="B135" i="22"/>
  <c r="F131" i="28"/>
  <c r="B131" i="28"/>
  <c r="F137" i="6"/>
  <c r="B137" i="6"/>
  <c r="F138" i="11"/>
  <c r="B138" i="11"/>
  <c r="I134" i="25"/>
  <c r="H134" i="25"/>
  <c r="I138" i="10"/>
  <c r="J138" i="10" s="1"/>
  <c r="H138" i="10"/>
  <c r="B128" i="40"/>
  <c r="F128" i="40"/>
  <c r="J131" i="29"/>
  <c r="B138" i="9"/>
  <c r="F138" i="9"/>
  <c r="H136" i="8"/>
  <c r="I136" i="8"/>
  <c r="J136" i="8" s="1"/>
  <c r="H129" i="30"/>
  <c r="I129" i="30"/>
  <c r="J129" i="30" s="1"/>
  <c r="F134" i="23"/>
  <c r="B134" i="23"/>
  <c r="F139" i="7"/>
  <c r="B139" i="7"/>
  <c r="I134" i="22"/>
  <c r="H134" i="22"/>
  <c r="F128" i="37"/>
  <c r="B128" i="37"/>
  <c r="I135" i="4"/>
  <c r="H135" i="4"/>
  <c r="I136" i="6"/>
  <c r="H136" i="6"/>
  <c r="F133" i="24"/>
  <c r="B133" i="24"/>
  <c r="F135" i="25"/>
  <c r="B135" i="25"/>
  <c r="B139" i="10"/>
  <c r="F139" i="10"/>
  <c r="I135" i="5"/>
  <c r="H135" i="5"/>
  <c r="E129" i="38"/>
  <c r="D129" i="38"/>
  <c r="G128" i="38"/>
  <c r="D133" i="29"/>
  <c r="G132" i="29"/>
  <c r="E133" i="29"/>
  <c r="D50" i="13"/>
  <c r="E50" i="13" s="1"/>
  <c r="G49" i="13"/>
  <c r="H49" i="13"/>
  <c r="B130" i="13"/>
  <c r="D130" i="42"/>
  <c r="E130" i="42" s="1"/>
  <c r="G129" i="42"/>
  <c r="I129" i="13"/>
  <c r="H129" i="13"/>
  <c r="G60" i="7"/>
  <c r="I60" i="7" s="1"/>
  <c r="D52" i="28"/>
  <c r="E52" i="28"/>
  <c r="I57" i="3"/>
  <c r="I59" i="10"/>
  <c r="D60" i="11"/>
  <c r="E60" i="11" s="1"/>
  <c r="I127" i="41"/>
  <c r="H127" i="41"/>
  <c r="I48" i="40"/>
  <c r="E130" i="13"/>
  <c r="F130" i="13" s="1"/>
  <c r="H131" i="31"/>
  <c r="I131" i="31"/>
  <c r="J131" i="31" s="1"/>
  <c r="H51" i="28"/>
  <c r="I51" i="28" s="1"/>
  <c r="D58" i="3"/>
  <c r="E58" i="3"/>
  <c r="H57" i="8"/>
  <c r="I57" i="8" s="1"/>
  <c r="G55" i="22"/>
  <c r="I55" i="22" s="1"/>
  <c r="D60" i="10"/>
  <c r="E60" i="10" s="1"/>
  <c r="B128" i="41"/>
  <c r="F128" i="41"/>
  <c r="D129" i="39"/>
  <c r="G128" i="39"/>
  <c r="E129" i="39"/>
  <c r="I47" i="42"/>
  <c r="D50" i="39"/>
  <c r="E50" i="39"/>
  <c r="I52" i="29"/>
  <c r="E49" i="43"/>
  <c r="D49" i="43"/>
  <c r="D48" i="42"/>
  <c r="E48" i="42"/>
  <c r="E49" i="41"/>
  <c r="D49" i="41"/>
  <c r="D58" i="8"/>
  <c r="E58" i="8"/>
  <c r="D56" i="22"/>
  <c r="E56" i="22"/>
  <c r="G48" i="43"/>
  <c r="I48" i="43" s="1"/>
  <c r="F53" i="29"/>
  <c r="H53" i="29" s="1"/>
  <c r="B53" i="29"/>
  <c r="H128" i="44"/>
  <c r="I128" i="44"/>
  <c r="F132" i="31"/>
  <c r="B132" i="31"/>
  <c r="E51" i="30"/>
  <c r="D51" i="30"/>
  <c r="D49" i="37"/>
  <c r="E49" i="37"/>
  <c r="D49" i="40"/>
  <c r="E49" i="40"/>
  <c r="I47" i="45"/>
  <c r="E58" i="4"/>
  <c r="D58" i="4"/>
  <c r="I127" i="43"/>
  <c r="H127" i="43"/>
  <c r="H50" i="30"/>
  <c r="I50" i="30" s="1"/>
  <c r="I127" i="45"/>
  <c r="H127" i="45"/>
  <c r="F51" i="31"/>
  <c r="H51" i="31" s="1"/>
  <c r="B51" i="31"/>
  <c r="D61" i="7"/>
  <c r="I48" i="37"/>
  <c r="D54" i="24"/>
  <c r="E54" i="24"/>
  <c r="J128" i="42"/>
  <c r="B129" i="44"/>
  <c r="F129" i="44"/>
  <c r="D48" i="45"/>
  <c r="E48" i="45"/>
  <c r="H57" i="4"/>
  <c r="I57" i="4" s="1"/>
  <c r="G48" i="41"/>
  <c r="I48" i="41" s="1"/>
  <c r="B128" i="43"/>
  <c r="F128" i="43"/>
  <c r="D56" i="25"/>
  <c r="E56" i="25"/>
  <c r="D49" i="38"/>
  <c r="E49" i="38"/>
  <c r="J127" i="39"/>
  <c r="B128" i="45"/>
  <c r="F128" i="45"/>
  <c r="E58" i="5"/>
  <c r="D58" i="5"/>
  <c r="D55" i="23"/>
  <c r="E55" i="23"/>
  <c r="G51" i="31" l="1"/>
  <c r="I51" i="31"/>
  <c r="I49" i="13"/>
  <c r="G53" i="29"/>
  <c r="J129" i="13"/>
  <c r="D60" i="9"/>
  <c r="I57" i="6"/>
  <c r="E53" i="27"/>
  <c r="D53" i="27"/>
  <c r="F48" i="44"/>
  <c r="B48" i="44"/>
  <c r="I53" i="29"/>
  <c r="J127" i="37"/>
  <c r="G52" i="27"/>
  <c r="I52" i="27" s="1"/>
  <c r="G59" i="9"/>
  <c r="I59" i="9" s="1"/>
  <c r="B58" i="6"/>
  <c r="F58" i="6"/>
  <c r="G58" i="6"/>
  <c r="B129" i="38"/>
  <c r="F129" i="38"/>
  <c r="E139" i="11"/>
  <c r="G138" i="11"/>
  <c r="D139" i="11"/>
  <c r="D132" i="28"/>
  <c r="G131" i="28"/>
  <c r="E132" i="28"/>
  <c r="D134" i="24"/>
  <c r="E134" i="24"/>
  <c r="G133" i="24"/>
  <c r="J135" i="4"/>
  <c r="E135" i="23"/>
  <c r="D135" i="23"/>
  <c r="G134" i="23"/>
  <c r="E129" i="40"/>
  <c r="G128" i="40"/>
  <c r="D129" i="40"/>
  <c r="D137" i="4"/>
  <c r="E137" i="4"/>
  <c r="G136" i="4"/>
  <c r="J130" i="28"/>
  <c r="G139" i="10"/>
  <c r="E140" i="10"/>
  <c r="D140" i="10"/>
  <c r="D139" i="9"/>
  <c r="G138" i="9"/>
  <c r="E139" i="9"/>
  <c r="D138" i="6"/>
  <c r="E138" i="6"/>
  <c r="G137" i="6"/>
  <c r="D136" i="22"/>
  <c r="G135" i="22"/>
  <c r="E136" i="22"/>
  <c r="G137" i="8"/>
  <c r="D138" i="8"/>
  <c r="E138" i="8"/>
  <c r="H128" i="38"/>
  <c r="I128" i="38"/>
  <c r="J135" i="5"/>
  <c r="E136" i="25"/>
  <c r="G135" i="25"/>
  <c r="D136" i="25"/>
  <c r="J136" i="6"/>
  <c r="G128" i="37"/>
  <c r="D129" i="37"/>
  <c r="E129" i="37"/>
  <c r="G139" i="7"/>
  <c r="E140" i="7"/>
  <c r="D140" i="7"/>
  <c r="G136" i="3"/>
  <c r="E137" i="3"/>
  <c r="D137" i="3"/>
  <c r="J127" i="40"/>
  <c r="J131" i="27"/>
  <c r="E137" i="5"/>
  <c r="G136" i="5"/>
  <c r="D137" i="5"/>
  <c r="E133" i="27"/>
  <c r="D133" i="27"/>
  <c r="G132" i="27"/>
  <c r="E131" i="30"/>
  <c r="G130" i="30"/>
  <c r="D131" i="30"/>
  <c r="I132" i="29"/>
  <c r="H132" i="29"/>
  <c r="B133" i="29"/>
  <c r="F133" i="29"/>
  <c r="J128" i="44"/>
  <c r="G130" i="13"/>
  <c r="D131" i="13"/>
  <c r="F54" i="24"/>
  <c r="H54" i="24" s="1"/>
  <c r="B54" i="24"/>
  <c r="F55" i="23"/>
  <c r="G55" i="23" s="1"/>
  <c r="H55" i="23"/>
  <c r="B55" i="23"/>
  <c r="F48" i="45"/>
  <c r="B48" i="45"/>
  <c r="B58" i="4"/>
  <c r="F58" i="4"/>
  <c r="H58" i="4" s="1"/>
  <c r="G58" i="4"/>
  <c r="B56" i="22"/>
  <c r="F56" i="22"/>
  <c r="G56" i="22" s="1"/>
  <c r="B50" i="39"/>
  <c r="F50" i="39"/>
  <c r="G50" i="39" s="1"/>
  <c r="I128" i="39"/>
  <c r="H128" i="39"/>
  <c r="J127" i="41"/>
  <c r="F52" i="28"/>
  <c r="H52" i="28" s="1"/>
  <c r="B52" i="28"/>
  <c r="B130" i="42"/>
  <c r="F130" i="42"/>
  <c r="B61" i="7"/>
  <c r="B49" i="38"/>
  <c r="F49" i="38"/>
  <c r="G49" i="38" s="1"/>
  <c r="B58" i="8"/>
  <c r="F58" i="8"/>
  <c r="H58" i="8"/>
  <c r="G128" i="41"/>
  <c r="D129" i="41"/>
  <c r="E129" i="41"/>
  <c r="F60" i="10"/>
  <c r="H60" i="10" s="1"/>
  <c r="B60" i="10"/>
  <c r="F58" i="5"/>
  <c r="G58" i="5" s="1"/>
  <c r="B58" i="5"/>
  <c r="B48" i="42"/>
  <c r="F48" i="42"/>
  <c r="G48" i="42" s="1"/>
  <c r="B58" i="3"/>
  <c r="F58" i="3"/>
  <c r="H58" i="3" s="1"/>
  <c r="F51" i="30"/>
  <c r="G51" i="30" s="1"/>
  <c r="B51" i="30"/>
  <c r="D129" i="43"/>
  <c r="G128" i="43"/>
  <c r="E129" i="43"/>
  <c r="D52" i="31"/>
  <c r="E52" i="31"/>
  <c r="B49" i="43"/>
  <c r="F49" i="43"/>
  <c r="H49" i="43"/>
  <c r="F60" i="11"/>
  <c r="H60" i="11" s="1"/>
  <c r="B60" i="11"/>
  <c r="D54" i="29"/>
  <c r="E54" i="29"/>
  <c r="B56" i="25"/>
  <c r="F56" i="25"/>
  <c r="H56" i="25" s="1"/>
  <c r="G129" i="44"/>
  <c r="D130" i="44"/>
  <c r="G128" i="45"/>
  <c r="D129" i="45"/>
  <c r="E129" i="45" s="1"/>
  <c r="B49" i="40"/>
  <c r="F49" i="40"/>
  <c r="G49" i="40" s="1"/>
  <c r="B50" i="13"/>
  <c r="F50" i="13"/>
  <c r="F49" i="37"/>
  <c r="B49" i="37"/>
  <c r="F129" i="39"/>
  <c r="B129" i="39"/>
  <c r="J127" i="43"/>
  <c r="F49" i="41"/>
  <c r="B49" i="41"/>
  <c r="E61" i="7"/>
  <c r="F61" i="7" s="1"/>
  <c r="J127" i="45"/>
  <c r="G132" i="31"/>
  <c r="D133" i="31"/>
  <c r="E133" i="31"/>
  <c r="H129" i="42"/>
  <c r="I129" i="42"/>
  <c r="H49" i="40" l="1"/>
  <c r="G54" i="24"/>
  <c r="I54" i="24" s="1"/>
  <c r="H48" i="42"/>
  <c r="I48" i="42" s="1"/>
  <c r="G52" i="28"/>
  <c r="I52" i="28" s="1"/>
  <c r="H56" i="22"/>
  <c r="G53" i="27"/>
  <c r="B53" i="27"/>
  <c r="F53" i="27"/>
  <c r="H53" i="27" s="1"/>
  <c r="G56" i="25"/>
  <c r="I56" i="25" s="1"/>
  <c r="G60" i="10"/>
  <c r="I58" i="4"/>
  <c r="E59" i="6"/>
  <c r="D59" i="6"/>
  <c r="H48" i="44"/>
  <c r="E49" i="44"/>
  <c r="D49" i="44"/>
  <c r="B60" i="9"/>
  <c r="H58" i="6"/>
  <c r="I58" i="6" s="1"/>
  <c r="G48" i="44"/>
  <c r="E60" i="9"/>
  <c r="F60" i="9" s="1"/>
  <c r="B133" i="27"/>
  <c r="F133" i="27"/>
  <c r="B136" i="22"/>
  <c r="F136" i="22"/>
  <c r="H138" i="11"/>
  <c r="I138" i="11"/>
  <c r="I130" i="30"/>
  <c r="H130" i="30"/>
  <c r="I136" i="3"/>
  <c r="H136" i="3"/>
  <c r="B136" i="25"/>
  <c r="F136" i="25"/>
  <c r="J128" i="38"/>
  <c r="I137" i="8"/>
  <c r="H137" i="8"/>
  <c r="H137" i="6"/>
  <c r="I137" i="6"/>
  <c r="I138" i="9"/>
  <c r="H138" i="9"/>
  <c r="H139" i="10"/>
  <c r="I139" i="10"/>
  <c r="F137" i="4"/>
  <c r="B137" i="4"/>
  <c r="I134" i="23"/>
  <c r="H134" i="23"/>
  <c r="H133" i="24"/>
  <c r="I133" i="24"/>
  <c r="H131" i="28"/>
  <c r="I131" i="28"/>
  <c r="F131" i="30"/>
  <c r="B131" i="30"/>
  <c r="F137" i="5"/>
  <c r="B137" i="5"/>
  <c r="F140" i="7"/>
  <c r="B140" i="7"/>
  <c r="B129" i="37"/>
  <c r="F129" i="37"/>
  <c r="I135" i="25"/>
  <c r="H135" i="25"/>
  <c r="B139" i="9"/>
  <c r="F139" i="9"/>
  <c r="F129" i="40"/>
  <c r="B129" i="40"/>
  <c r="F135" i="23"/>
  <c r="B135" i="23"/>
  <c r="F132" i="28"/>
  <c r="B132" i="28"/>
  <c r="D130" i="38"/>
  <c r="G129" i="38"/>
  <c r="E130" i="38"/>
  <c r="H139" i="7"/>
  <c r="I139" i="7"/>
  <c r="J139" i="7" s="1"/>
  <c r="B138" i="8"/>
  <c r="F138" i="8"/>
  <c r="J132" i="29"/>
  <c r="H132" i="27"/>
  <c r="I132" i="27"/>
  <c r="H136" i="5"/>
  <c r="I136" i="5"/>
  <c r="J136" i="5" s="1"/>
  <c r="F137" i="3"/>
  <c r="B137" i="3"/>
  <c r="I128" i="37"/>
  <c r="H128" i="37"/>
  <c r="I135" i="22"/>
  <c r="H135" i="22"/>
  <c r="B138" i="6"/>
  <c r="F138" i="6"/>
  <c r="F140" i="10"/>
  <c r="B140" i="10"/>
  <c r="H136" i="4"/>
  <c r="I136" i="4"/>
  <c r="J136" i="4" s="1"/>
  <c r="H128" i="40"/>
  <c r="I128" i="40"/>
  <c r="F134" i="24"/>
  <c r="B134" i="24"/>
  <c r="B139" i="11"/>
  <c r="F139" i="11"/>
  <c r="G133" i="29"/>
  <c r="E134" i="29"/>
  <c r="D134" i="29"/>
  <c r="D62" i="7"/>
  <c r="E62" i="7" s="1"/>
  <c r="G61" i="7"/>
  <c r="H61" i="7"/>
  <c r="D50" i="41"/>
  <c r="E50" i="41"/>
  <c r="D49" i="45"/>
  <c r="E49" i="45"/>
  <c r="I49" i="40"/>
  <c r="D51" i="13"/>
  <c r="I129" i="44"/>
  <c r="H129" i="44"/>
  <c r="D52" i="30"/>
  <c r="E52" i="30"/>
  <c r="I128" i="41"/>
  <c r="H128" i="41"/>
  <c r="D59" i="8"/>
  <c r="I56" i="22"/>
  <c r="H48" i="45"/>
  <c r="D59" i="3"/>
  <c r="E59" i="3" s="1"/>
  <c r="B130" i="44"/>
  <c r="J128" i="39"/>
  <c r="F52" i="31"/>
  <c r="G52" i="31" s="1"/>
  <c r="B52" i="31"/>
  <c r="D59" i="5"/>
  <c r="E59" i="5" s="1"/>
  <c r="I128" i="45"/>
  <c r="H128" i="45"/>
  <c r="D59" i="4"/>
  <c r="E59" i="4" s="1"/>
  <c r="G50" i="13"/>
  <c r="D50" i="43"/>
  <c r="E50" i="43"/>
  <c r="H58" i="5"/>
  <c r="G58" i="8"/>
  <c r="I58" i="8" s="1"/>
  <c r="D51" i="39"/>
  <c r="E51" i="39"/>
  <c r="D55" i="24"/>
  <c r="E55" i="24"/>
  <c r="D50" i="37"/>
  <c r="E50" i="37"/>
  <c r="G48" i="45"/>
  <c r="B54" i="29"/>
  <c r="F54" i="29"/>
  <c r="G54" i="29" s="1"/>
  <c r="H54" i="29"/>
  <c r="G49" i="43"/>
  <c r="I49" i="43" s="1"/>
  <c r="H128" i="43"/>
  <c r="I128" i="43"/>
  <c r="H50" i="39"/>
  <c r="I50" i="39" s="1"/>
  <c r="I55" i="23"/>
  <c r="B131" i="13"/>
  <c r="D50" i="38"/>
  <c r="E50" i="38"/>
  <c r="G49" i="41"/>
  <c r="H50" i="13"/>
  <c r="H132" i="31"/>
  <c r="I132" i="31"/>
  <c r="J132" i="31" s="1"/>
  <c r="H49" i="41"/>
  <c r="I49" i="41" s="1"/>
  <c r="G49" i="37"/>
  <c r="D57" i="25"/>
  <c r="E57" i="25"/>
  <c r="D61" i="11"/>
  <c r="E61" i="11" s="1"/>
  <c r="B129" i="43"/>
  <c r="F129" i="43"/>
  <c r="E49" i="42"/>
  <c r="D49" i="42"/>
  <c r="I60" i="10"/>
  <c r="D53" i="28"/>
  <c r="E53" i="28"/>
  <c r="D56" i="23"/>
  <c r="E56" i="23"/>
  <c r="E131" i="13"/>
  <c r="F131" i="13" s="1"/>
  <c r="F129" i="41"/>
  <c r="B129" i="41"/>
  <c r="G130" i="42"/>
  <c r="D131" i="42"/>
  <c r="E131" i="42" s="1"/>
  <c r="E130" i="44"/>
  <c r="F130" i="44" s="1"/>
  <c r="B133" i="31"/>
  <c r="F133" i="31"/>
  <c r="D130" i="39"/>
  <c r="E130" i="39"/>
  <c r="G129" i="39"/>
  <c r="J129" i="42"/>
  <c r="H49" i="37"/>
  <c r="I49" i="37" s="1"/>
  <c r="D50" i="40"/>
  <c r="E50" i="40"/>
  <c r="F129" i="45"/>
  <c r="B129" i="45"/>
  <c r="G60" i="11"/>
  <c r="I60" i="11" s="1"/>
  <c r="H51" i="30"/>
  <c r="I51" i="30" s="1"/>
  <c r="G58" i="3"/>
  <c r="I58" i="3" s="1"/>
  <c r="D61" i="10"/>
  <c r="H49" i="38"/>
  <c r="I49" i="38" s="1"/>
  <c r="D57" i="22"/>
  <c r="E57" i="22"/>
  <c r="H130" i="13"/>
  <c r="I130" i="13"/>
  <c r="J130" i="13" l="1"/>
  <c r="J155" i="13" s="1"/>
  <c r="I50" i="13"/>
  <c r="I54" i="29"/>
  <c r="I61" i="7"/>
  <c r="D61" i="9"/>
  <c r="G60" i="9"/>
  <c r="H60" i="9"/>
  <c r="I48" i="44"/>
  <c r="F59" i="6"/>
  <c r="H59" i="6" s="1"/>
  <c r="B59" i="6"/>
  <c r="I53" i="27"/>
  <c r="B49" i="44"/>
  <c r="F49" i="44"/>
  <c r="D54" i="27"/>
  <c r="E54" i="27"/>
  <c r="G135" i="23"/>
  <c r="E136" i="23"/>
  <c r="D136" i="23"/>
  <c r="G137" i="5"/>
  <c r="E138" i="5"/>
  <c r="D138" i="5"/>
  <c r="E137" i="22"/>
  <c r="D137" i="22"/>
  <c r="G136" i="22"/>
  <c r="G138" i="6"/>
  <c r="D139" i="6"/>
  <c r="E139" i="6"/>
  <c r="J130" i="30"/>
  <c r="D141" i="10"/>
  <c r="G140" i="10"/>
  <c r="E141" i="10"/>
  <c r="E138" i="3"/>
  <c r="D138" i="3"/>
  <c r="G137" i="3"/>
  <c r="D137" i="25"/>
  <c r="E137" i="25"/>
  <c r="G136" i="25"/>
  <c r="J129" i="44"/>
  <c r="E135" i="24"/>
  <c r="G134" i="24"/>
  <c r="D135" i="24"/>
  <c r="J128" i="37"/>
  <c r="D139" i="8"/>
  <c r="E139" i="8"/>
  <c r="G138" i="8"/>
  <c r="E133" i="28"/>
  <c r="G132" i="28"/>
  <c r="D133" i="28"/>
  <c r="E130" i="40"/>
  <c r="D130" i="40"/>
  <c r="G129" i="40"/>
  <c r="D141" i="7"/>
  <c r="E141" i="7"/>
  <c r="G140" i="7"/>
  <c r="D132" i="30"/>
  <c r="E132" i="30"/>
  <c r="G131" i="30"/>
  <c r="G137" i="4"/>
  <c r="D138" i="4"/>
  <c r="E138" i="4"/>
  <c r="J137" i="8"/>
  <c r="G133" i="27"/>
  <c r="E134" i="27"/>
  <c r="D134" i="27"/>
  <c r="F130" i="38"/>
  <c r="B130" i="38"/>
  <c r="G139" i="11"/>
  <c r="E140" i="11"/>
  <c r="D140" i="11"/>
  <c r="J128" i="40"/>
  <c r="J132" i="27"/>
  <c r="H129" i="38"/>
  <c r="I129" i="38"/>
  <c r="G139" i="9"/>
  <c r="E140" i="9"/>
  <c r="D140" i="9"/>
  <c r="D130" i="37"/>
  <c r="E130" i="37"/>
  <c r="G129" i="37"/>
  <c r="J131" i="28"/>
  <c r="J139" i="10"/>
  <c r="J137" i="6"/>
  <c r="J136" i="3"/>
  <c r="I133" i="29"/>
  <c r="H133" i="29"/>
  <c r="F134" i="29"/>
  <c r="B134" i="29"/>
  <c r="D131" i="44"/>
  <c r="E131" i="44" s="1"/>
  <c r="G130" i="44"/>
  <c r="B130" i="39"/>
  <c r="F130" i="39"/>
  <c r="E134" i="31"/>
  <c r="D134" i="31"/>
  <c r="G133" i="31"/>
  <c r="G129" i="43"/>
  <c r="D130" i="43"/>
  <c r="E130" i="43"/>
  <c r="F50" i="38"/>
  <c r="G50" i="38" s="1"/>
  <c r="B50" i="38"/>
  <c r="J128" i="45"/>
  <c r="B59" i="5"/>
  <c r="F59" i="5"/>
  <c r="H59" i="5" s="1"/>
  <c r="G59" i="5"/>
  <c r="B59" i="3"/>
  <c r="F59" i="3"/>
  <c r="G59" i="3" s="1"/>
  <c r="J128" i="41"/>
  <c r="B51" i="13"/>
  <c r="B61" i="10"/>
  <c r="D130" i="41"/>
  <c r="G129" i="41"/>
  <c r="E130" i="41"/>
  <c r="D130" i="45"/>
  <c r="E130" i="45" s="1"/>
  <c r="G129" i="45"/>
  <c r="F51" i="39"/>
  <c r="B51" i="39"/>
  <c r="F59" i="4"/>
  <c r="H59" i="4" s="1"/>
  <c r="B59" i="4"/>
  <c r="E51" i="13"/>
  <c r="F51" i="13" s="1"/>
  <c r="F53" i="28"/>
  <c r="G53" i="28" s="1"/>
  <c r="B53" i="28"/>
  <c r="B57" i="22"/>
  <c r="F57" i="22"/>
  <c r="H57" i="22" s="1"/>
  <c r="H52" i="31"/>
  <c r="I52" i="31" s="1"/>
  <c r="B52" i="30"/>
  <c r="F52" i="30"/>
  <c r="G52" i="30" s="1"/>
  <c r="B50" i="41"/>
  <c r="F50" i="41"/>
  <c r="H50" i="41" s="1"/>
  <c r="F50" i="40"/>
  <c r="H50" i="40" s="1"/>
  <c r="G50" i="40"/>
  <c r="B50" i="40"/>
  <c r="B61" i="11"/>
  <c r="F61" i="11"/>
  <c r="H61" i="11" s="1"/>
  <c r="D55" i="29"/>
  <c r="E55" i="29"/>
  <c r="I48" i="45"/>
  <c r="F56" i="23"/>
  <c r="H56" i="23" s="1"/>
  <c r="G56" i="23"/>
  <c r="B56" i="23"/>
  <c r="B49" i="42"/>
  <c r="F49" i="42"/>
  <c r="G49" i="42" s="1"/>
  <c r="G131" i="13"/>
  <c r="D132" i="13"/>
  <c r="E132" i="13" s="1"/>
  <c r="F50" i="37"/>
  <c r="H50" i="37" s="1"/>
  <c r="B50" i="37"/>
  <c r="B50" i="43"/>
  <c r="F50" i="43"/>
  <c r="H50" i="43" s="1"/>
  <c r="D53" i="31"/>
  <c r="E53" i="31"/>
  <c r="F49" i="45"/>
  <c r="H49" i="45" s="1"/>
  <c r="B49" i="45"/>
  <c r="B62" i="7"/>
  <c r="F62" i="7"/>
  <c r="H62" i="7" s="1"/>
  <c r="H129" i="39"/>
  <c r="I129" i="39"/>
  <c r="H130" i="42"/>
  <c r="I130" i="42"/>
  <c r="B57" i="25"/>
  <c r="F57" i="25"/>
  <c r="G57" i="25" s="1"/>
  <c r="F55" i="24"/>
  <c r="H55" i="24" s="1"/>
  <c r="B55" i="24"/>
  <c r="B59" i="8"/>
  <c r="F131" i="42"/>
  <c r="B131" i="42"/>
  <c r="E61" i="10"/>
  <c r="F61" i="10" s="1"/>
  <c r="J128" i="43"/>
  <c r="E59" i="8"/>
  <c r="F59" i="8" s="1"/>
  <c r="G59" i="8" s="1"/>
  <c r="G62" i="7" l="1"/>
  <c r="G50" i="37"/>
  <c r="G50" i="43"/>
  <c r="J129" i="38"/>
  <c r="G57" i="22"/>
  <c r="H50" i="38"/>
  <c r="I57" i="22"/>
  <c r="I60" i="9"/>
  <c r="D50" i="44"/>
  <c r="E50" i="44"/>
  <c r="G61" i="11"/>
  <c r="I61" i="11" s="1"/>
  <c r="B54" i="27"/>
  <c r="F54" i="27"/>
  <c r="G54" i="27"/>
  <c r="I50" i="40"/>
  <c r="H49" i="44"/>
  <c r="D60" i="6"/>
  <c r="E60" i="6"/>
  <c r="B61" i="9"/>
  <c r="G50" i="41"/>
  <c r="H53" i="28"/>
  <c r="I53" i="28" s="1"/>
  <c r="I50" i="43"/>
  <c r="I50" i="37"/>
  <c r="H49" i="42"/>
  <c r="G49" i="44"/>
  <c r="G59" i="6"/>
  <c r="I59" i="6" s="1"/>
  <c r="E61" i="9"/>
  <c r="F61" i="9" s="1"/>
  <c r="I129" i="37"/>
  <c r="H129" i="37"/>
  <c r="I139" i="11"/>
  <c r="H139" i="11"/>
  <c r="F132" i="30"/>
  <c r="B132" i="30"/>
  <c r="F139" i="8"/>
  <c r="B139" i="8"/>
  <c r="B137" i="22"/>
  <c r="F137" i="22"/>
  <c r="I137" i="5"/>
  <c r="H137" i="5"/>
  <c r="I139" i="9"/>
  <c r="H139" i="9"/>
  <c r="I133" i="27"/>
  <c r="H133" i="27"/>
  <c r="H137" i="4"/>
  <c r="I137" i="4"/>
  <c r="J137" i="4" s="1"/>
  <c r="I140" i="7"/>
  <c r="H140" i="7"/>
  <c r="F130" i="40"/>
  <c r="B130" i="40"/>
  <c r="H137" i="3"/>
  <c r="I137" i="3"/>
  <c r="J137" i="3" s="1"/>
  <c r="I140" i="10"/>
  <c r="H140" i="10"/>
  <c r="B139" i="6"/>
  <c r="F139" i="6"/>
  <c r="B136" i="23"/>
  <c r="F136" i="23"/>
  <c r="B137" i="25"/>
  <c r="F137" i="25"/>
  <c r="B130" i="37"/>
  <c r="F130" i="37"/>
  <c r="F140" i="11"/>
  <c r="B140" i="11"/>
  <c r="E131" i="38"/>
  <c r="G130" i="38"/>
  <c r="D131" i="38"/>
  <c r="H131" i="30"/>
  <c r="I131" i="30"/>
  <c r="I138" i="8"/>
  <c r="J138" i="8" s="1"/>
  <c r="H138" i="8"/>
  <c r="B135" i="24"/>
  <c r="F135" i="24"/>
  <c r="I136" i="25"/>
  <c r="H136" i="25"/>
  <c r="B138" i="3"/>
  <c r="F138" i="3"/>
  <c r="F141" i="10"/>
  <c r="B141" i="10"/>
  <c r="I138" i="6"/>
  <c r="J138" i="6" s="1"/>
  <c r="H138" i="6"/>
  <c r="F138" i="5"/>
  <c r="B138" i="5"/>
  <c r="B138" i="4"/>
  <c r="F138" i="4"/>
  <c r="I129" i="40"/>
  <c r="H129" i="40"/>
  <c r="H132" i="28"/>
  <c r="I132" i="28"/>
  <c r="B140" i="9"/>
  <c r="F140" i="9"/>
  <c r="F134" i="27"/>
  <c r="B134" i="27"/>
  <c r="F141" i="7"/>
  <c r="B141" i="7"/>
  <c r="F133" i="28"/>
  <c r="B133" i="28"/>
  <c r="I134" i="24"/>
  <c r="H134" i="24"/>
  <c r="H136" i="22"/>
  <c r="I136" i="22"/>
  <c r="H135" i="23"/>
  <c r="I135" i="23"/>
  <c r="G134" i="29"/>
  <c r="E135" i="29"/>
  <c r="D135" i="29"/>
  <c r="J130" i="42"/>
  <c r="J155" i="42" s="1"/>
  <c r="J133" i="29"/>
  <c r="D52" i="13"/>
  <c r="E52" i="13" s="1"/>
  <c r="G51" i="13"/>
  <c r="H51" i="13"/>
  <c r="D62" i="10"/>
  <c r="E62" i="10" s="1"/>
  <c r="G61" i="10"/>
  <c r="H61" i="10"/>
  <c r="D52" i="39"/>
  <c r="E52" i="39"/>
  <c r="I129" i="43"/>
  <c r="H129" i="43"/>
  <c r="G131" i="42"/>
  <c r="D132" i="42"/>
  <c r="H57" i="25"/>
  <c r="I57" i="25" s="1"/>
  <c r="D50" i="45"/>
  <c r="E50" i="45"/>
  <c r="B132" i="13"/>
  <c r="F132" i="13"/>
  <c r="D57" i="23"/>
  <c r="E57" i="23"/>
  <c r="D51" i="41"/>
  <c r="E51" i="41"/>
  <c r="G59" i="4"/>
  <c r="I59" i="4" s="1"/>
  <c r="I129" i="45"/>
  <c r="H129" i="45"/>
  <c r="D60" i="3"/>
  <c r="E60" i="3" s="1"/>
  <c r="D60" i="5"/>
  <c r="E60" i="5" s="1"/>
  <c r="I133" i="31"/>
  <c r="H133" i="31"/>
  <c r="F130" i="45"/>
  <c r="B130" i="45"/>
  <c r="B134" i="31"/>
  <c r="F134" i="31"/>
  <c r="I50" i="41"/>
  <c r="D51" i="43"/>
  <c r="E51" i="43"/>
  <c r="I56" i="23"/>
  <c r="H59" i="8"/>
  <c r="I59" i="8" s="1"/>
  <c r="E56" i="24"/>
  <c r="D56" i="24"/>
  <c r="I62" i="7"/>
  <c r="B53" i="31"/>
  <c r="F53" i="31"/>
  <c r="G53" i="31" s="1"/>
  <c r="D58" i="22"/>
  <c r="E58" i="22"/>
  <c r="D54" i="28"/>
  <c r="E54" i="28"/>
  <c r="H59" i="3"/>
  <c r="I59" i="3" s="1"/>
  <c r="E131" i="39"/>
  <c r="D131" i="39"/>
  <c r="G130" i="39"/>
  <c r="I131" i="13"/>
  <c r="H131" i="13"/>
  <c r="G55" i="24"/>
  <c r="I55" i="24" s="1"/>
  <c r="J129" i="39"/>
  <c r="D63" i="7"/>
  <c r="D50" i="42"/>
  <c r="E50" i="42"/>
  <c r="D60" i="4"/>
  <c r="E60" i="4" s="1"/>
  <c r="I50" i="38"/>
  <c r="D60" i="8"/>
  <c r="E60" i="8" s="1"/>
  <c r="I49" i="42"/>
  <c r="B55" i="29"/>
  <c r="F55" i="29"/>
  <c r="D53" i="30"/>
  <c r="E53" i="30"/>
  <c r="H51" i="39"/>
  <c r="D51" i="38"/>
  <c r="E51" i="38"/>
  <c r="G49" i="45"/>
  <c r="I49" i="45" s="1"/>
  <c r="D62" i="11"/>
  <c r="E62" i="11" s="1"/>
  <c r="H129" i="41"/>
  <c r="I129" i="41"/>
  <c r="I130" i="44"/>
  <c r="H130" i="44"/>
  <c r="D58" i="25"/>
  <c r="E58" i="25"/>
  <c r="E51" i="37"/>
  <c r="D51" i="37"/>
  <c r="E51" i="40"/>
  <c r="D51" i="40"/>
  <c r="H52" i="30"/>
  <c r="I52" i="30" s="1"/>
  <c r="G51" i="39"/>
  <c r="B130" i="41"/>
  <c r="F130" i="41"/>
  <c r="F130" i="43"/>
  <c r="B130" i="43"/>
  <c r="B131" i="44"/>
  <c r="F131" i="44"/>
  <c r="J129" i="40" l="1"/>
  <c r="H61" i="9"/>
  <c r="D62" i="9"/>
  <c r="E62" i="9" s="1"/>
  <c r="G61" i="9"/>
  <c r="I61" i="9" s="1"/>
  <c r="F60" i="6"/>
  <c r="B60" i="6"/>
  <c r="G60" i="6"/>
  <c r="H54" i="27"/>
  <c r="I54" i="27" s="1"/>
  <c r="D55" i="27"/>
  <c r="E55" i="27" s="1"/>
  <c r="H50" i="44"/>
  <c r="B50" i="44"/>
  <c r="F50" i="44"/>
  <c r="H53" i="31"/>
  <c r="I53" i="31" s="1"/>
  <c r="I61" i="10"/>
  <c r="I49" i="44"/>
  <c r="G137" i="25"/>
  <c r="D138" i="25"/>
  <c r="E138" i="25"/>
  <c r="E141" i="9"/>
  <c r="D141" i="9"/>
  <c r="G140" i="9"/>
  <c r="B131" i="38"/>
  <c r="F131" i="38"/>
  <c r="D141" i="11"/>
  <c r="E141" i="11"/>
  <c r="G140" i="11"/>
  <c r="J140" i="7"/>
  <c r="J133" i="27"/>
  <c r="J137" i="5"/>
  <c r="D140" i="8"/>
  <c r="G139" i="8"/>
  <c r="E140" i="8"/>
  <c r="E142" i="7"/>
  <c r="D142" i="7"/>
  <c r="G141" i="7"/>
  <c r="G138" i="5"/>
  <c r="D139" i="5"/>
  <c r="E139" i="5"/>
  <c r="E142" i="10"/>
  <c r="D142" i="10"/>
  <c r="G141" i="10"/>
  <c r="H130" i="38"/>
  <c r="I130" i="38"/>
  <c r="E131" i="37"/>
  <c r="D131" i="37"/>
  <c r="G130" i="37"/>
  <c r="E137" i="23"/>
  <c r="D137" i="23"/>
  <c r="G136" i="23"/>
  <c r="D138" i="22"/>
  <c r="E138" i="22"/>
  <c r="G137" i="22"/>
  <c r="E134" i="28"/>
  <c r="D134" i="28"/>
  <c r="G133" i="28"/>
  <c r="D135" i="27"/>
  <c r="G134" i="27"/>
  <c r="E135" i="27"/>
  <c r="D140" i="6"/>
  <c r="E140" i="6"/>
  <c r="G139" i="6"/>
  <c r="J133" i="31"/>
  <c r="J129" i="45"/>
  <c r="J132" i="28"/>
  <c r="E139" i="4"/>
  <c r="D139" i="4"/>
  <c r="G138" i="4"/>
  <c r="G138" i="3"/>
  <c r="D139" i="3"/>
  <c r="E139" i="3"/>
  <c r="G135" i="24"/>
  <c r="E136" i="24"/>
  <c r="D136" i="24"/>
  <c r="J131" i="30"/>
  <c r="J140" i="10"/>
  <c r="D131" i="40"/>
  <c r="E131" i="40"/>
  <c r="G130" i="40"/>
  <c r="G132" i="30"/>
  <c r="D133" i="30"/>
  <c r="E133" i="30"/>
  <c r="J129" i="37"/>
  <c r="B135" i="29"/>
  <c r="F135" i="29"/>
  <c r="I134" i="29"/>
  <c r="H134" i="29"/>
  <c r="J129" i="43"/>
  <c r="F51" i="40"/>
  <c r="H51" i="40" s="1"/>
  <c r="B51" i="40"/>
  <c r="D56" i="29"/>
  <c r="E56" i="29"/>
  <c r="F50" i="42"/>
  <c r="G50" i="42" s="1"/>
  <c r="B50" i="42"/>
  <c r="B51" i="43"/>
  <c r="F51" i="43"/>
  <c r="F50" i="45"/>
  <c r="H50" i="45" s="1"/>
  <c r="G50" i="45"/>
  <c r="B50" i="45"/>
  <c r="D131" i="43"/>
  <c r="G130" i="43"/>
  <c r="E131" i="43"/>
  <c r="F62" i="11"/>
  <c r="B62" i="11"/>
  <c r="I51" i="39"/>
  <c r="G55" i="29"/>
  <c r="B54" i="28"/>
  <c r="F54" i="28"/>
  <c r="G54" i="28" s="1"/>
  <c r="B60" i="3"/>
  <c r="F60" i="3"/>
  <c r="G60" i="3" s="1"/>
  <c r="F51" i="37"/>
  <c r="H51" i="37" s="1"/>
  <c r="B51" i="37"/>
  <c r="F51" i="41"/>
  <c r="G51" i="41" s="1"/>
  <c r="B51" i="41"/>
  <c r="B132" i="42"/>
  <c r="B52" i="39"/>
  <c r="F52" i="39"/>
  <c r="H52" i="39" s="1"/>
  <c r="B62" i="10"/>
  <c r="F62" i="10"/>
  <c r="G62" i="10" s="1"/>
  <c r="H55" i="29"/>
  <c r="F58" i="22"/>
  <c r="H58" i="22" s="1"/>
  <c r="B58" i="22"/>
  <c r="H56" i="24"/>
  <c r="B56" i="24"/>
  <c r="F56" i="24"/>
  <c r="G56" i="24" s="1"/>
  <c r="E132" i="42"/>
  <c r="F132" i="42" s="1"/>
  <c r="I51" i="13"/>
  <c r="B63" i="7"/>
  <c r="H130" i="39"/>
  <c r="I130" i="39"/>
  <c r="E135" i="31"/>
  <c r="G134" i="31"/>
  <c r="D135" i="31"/>
  <c r="B57" i="23"/>
  <c r="F57" i="23"/>
  <c r="G57" i="23" s="1"/>
  <c r="H131" i="42"/>
  <c r="I131" i="42"/>
  <c r="D131" i="45"/>
  <c r="E131" i="45" s="1"/>
  <c r="G130" i="45"/>
  <c r="J130" i="44"/>
  <c r="J155" i="44" s="1"/>
  <c r="F60" i="8"/>
  <c r="H60" i="8" s="1"/>
  <c r="B60" i="8"/>
  <c r="B60" i="4"/>
  <c r="F60" i="4"/>
  <c r="G60" i="4" s="1"/>
  <c r="E63" i="7"/>
  <c r="F63" i="7" s="1"/>
  <c r="B131" i="39"/>
  <c r="F131" i="39"/>
  <c r="G132" i="13"/>
  <c r="D133" i="13"/>
  <c r="E133" i="13" s="1"/>
  <c r="F52" i="13"/>
  <c r="H52" i="13" s="1"/>
  <c r="B52" i="13"/>
  <c r="F53" i="30"/>
  <c r="H53" i="30" s="1"/>
  <c r="B53" i="30"/>
  <c r="D131" i="41"/>
  <c r="G130" i="41"/>
  <c r="E131" i="41"/>
  <c r="D132" i="44"/>
  <c r="E132" i="44" s="1"/>
  <c r="G131" i="44"/>
  <c r="B58" i="25"/>
  <c r="F58" i="25"/>
  <c r="H58" i="25" s="1"/>
  <c r="J129" i="41"/>
  <c r="B51" i="38"/>
  <c r="F51" i="38"/>
  <c r="G51" i="38" s="1"/>
  <c r="D54" i="31"/>
  <c r="E54" i="31"/>
  <c r="B60" i="5"/>
  <c r="F60" i="5"/>
  <c r="H60" i="5" s="1"/>
  <c r="G52" i="13" l="1"/>
  <c r="I52" i="13" s="1"/>
  <c r="I52" i="39"/>
  <c r="I50" i="45"/>
  <c r="G53" i="30"/>
  <c r="I53" i="30" s="1"/>
  <c r="G52" i="39"/>
  <c r="G58" i="22"/>
  <c r="H51" i="41"/>
  <c r="I51" i="41" s="1"/>
  <c r="G51" i="40"/>
  <c r="I51" i="40" s="1"/>
  <c r="D51" i="44"/>
  <c r="E51" i="44"/>
  <c r="G60" i="8"/>
  <c r="I60" i="8" s="1"/>
  <c r="G50" i="44"/>
  <c r="I50" i="44" s="1"/>
  <c r="B55" i="27"/>
  <c r="F55" i="27"/>
  <c r="H55" i="27"/>
  <c r="D61" i="6"/>
  <c r="F62" i="9"/>
  <c r="D63" i="9" s="1"/>
  <c r="B62" i="9"/>
  <c r="H60" i="3"/>
  <c r="I60" i="3" s="1"/>
  <c r="H54" i="28"/>
  <c r="H60" i="6"/>
  <c r="I60" i="6" s="1"/>
  <c r="J130" i="38"/>
  <c r="J155" i="38" s="1"/>
  <c r="I132" i="30"/>
  <c r="J132" i="30" s="1"/>
  <c r="H132" i="30"/>
  <c r="I135" i="24"/>
  <c r="H135" i="24"/>
  <c r="H138" i="4"/>
  <c r="I138" i="4"/>
  <c r="B140" i="6"/>
  <c r="F140" i="6"/>
  <c r="I133" i="28"/>
  <c r="J133" i="28" s="1"/>
  <c r="H133" i="28"/>
  <c r="B139" i="4"/>
  <c r="F139" i="4"/>
  <c r="F138" i="22"/>
  <c r="B138" i="22"/>
  <c r="H130" i="37"/>
  <c r="I130" i="37"/>
  <c r="J130" i="37" s="1"/>
  <c r="J155" i="37" s="1"/>
  <c r="F140" i="8"/>
  <c r="B140" i="8"/>
  <c r="I140" i="11"/>
  <c r="H140" i="11"/>
  <c r="F136" i="24"/>
  <c r="B136" i="24"/>
  <c r="F139" i="3"/>
  <c r="B139" i="3"/>
  <c r="H139" i="6"/>
  <c r="I139" i="6"/>
  <c r="J139" i="6" s="1"/>
  <c r="I134" i="27"/>
  <c r="H134" i="27"/>
  <c r="H136" i="23"/>
  <c r="I136" i="23"/>
  <c r="F131" i="37"/>
  <c r="B131" i="37"/>
  <c r="H141" i="10"/>
  <c r="I141" i="10"/>
  <c r="J141" i="10" s="1"/>
  <c r="F139" i="5"/>
  <c r="B139" i="5"/>
  <c r="I140" i="9"/>
  <c r="H140" i="9"/>
  <c r="B138" i="25"/>
  <c r="F138" i="25"/>
  <c r="I141" i="7"/>
  <c r="J141" i="7" s="1"/>
  <c r="H141" i="7"/>
  <c r="I139" i="8"/>
  <c r="H139" i="8"/>
  <c r="D132" i="38"/>
  <c r="E132" i="38"/>
  <c r="G131" i="38"/>
  <c r="H130" i="40"/>
  <c r="I130" i="40"/>
  <c r="F134" i="28"/>
  <c r="B134" i="28"/>
  <c r="B142" i="7"/>
  <c r="F142" i="7"/>
  <c r="B133" i="30"/>
  <c r="F133" i="30"/>
  <c r="B131" i="40"/>
  <c r="F131" i="40"/>
  <c r="I138" i="3"/>
  <c r="H138" i="3"/>
  <c r="F135" i="27"/>
  <c r="B135" i="27"/>
  <c r="H137" i="22"/>
  <c r="I137" i="22"/>
  <c r="B137" i="23"/>
  <c r="F137" i="23"/>
  <c r="F142" i="10"/>
  <c r="B142" i="10"/>
  <c r="I138" i="5"/>
  <c r="J138" i="5" s="1"/>
  <c r="H138" i="5"/>
  <c r="B141" i="11"/>
  <c r="F141" i="11"/>
  <c r="B141" i="9"/>
  <c r="F141" i="9"/>
  <c r="H137" i="25"/>
  <c r="I137" i="25"/>
  <c r="J134" i="29"/>
  <c r="D136" i="29"/>
  <c r="E136" i="29"/>
  <c r="G135" i="29"/>
  <c r="D64" i="7"/>
  <c r="E64" i="7" s="1"/>
  <c r="H63" i="7"/>
  <c r="G63" i="7"/>
  <c r="D133" i="42"/>
  <c r="E133" i="42" s="1"/>
  <c r="G132" i="42"/>
  <c r="H130" i="41"/>
  <c r="I130" i="41"/>
  <c r="J130" i="39"/>
  <c r="J155" i="39" s="1"/>
  <c r="H62" i="10"/>
  <c r="I62" i="10" s="1"/>
  <c r="D51" i="45"/>
  <c r="E51" i="45"/>
  <c r="E51" i="42"/>
  <c r="D51" i="42"/>
  <c r="F131" i="41"/>
  <c r="B131" i="41"/>
  <c r="B54" i="31"/>
  <c r="F54" i="31"/>
  <c r="H54" i="31" s="1"/>
  <c r="G58" i="25"/>
  <c r="I58" i="25" s="1"/>
  <c r="D132" i="39"/>
  <c r="E132" i="39"/>
  <c r="G131" i="39"/>
  <c r="F133" i="13"/>
  <c r="B133" i="13"/>
  <c r="I130" i="45"/>
  <c r="H130" i="45"/>
  <c r="F135" i="31"/>
  <c r="B135" i="31"/>
  <c r="D59" i="22"/>
  <c r="D52" i="43"/>
  <c r="E52" i="43"/>
  <c r="E59" i="25"/>
  <c r="D59" i="25"/>
  <c r="D63" i="11"/>
  <c r="E63" i="11" s="1"/>
  <c r="H132" i="13"/>
  <c r="I132" i="13"/>
  <c r="D61" i="8"/>
  <c r="E61" i="8"/>
  <c r="F131" i="45"/>
  <c r="B131" i="45"/>
  <c r="I134" i="31"/>
  <c r="H134" i="31"/>
  <c r="I55" i="29"/>
  <c r="D63" i="10"/>
  <c r="F56" i="29"/>
  <c r="H56" i="29" s="1"/>
  <c r="B56" i="29"/>
  <c r="I56" i="24"/>
  <c r="D61" i="5"/>
  <c r="E61" i="5" s="1"/>
  <c r="D54" i="30"/>
  <c r="E54" i="30"/>
  <c r="D61" i="4"/>
  <c r="E61" i="4" s="1"/>
  <c r="I58" i="22"/>
  <c r="I54" i="28"/>
  <c r="G51" i="43"/>
  <c r="D52" i="40"/>
  <c r="E52" i="40"/>
  <c r="D58" i="23"/>
  <c r="E58" i="23" s="1"/>
  <c r="D52" i="37"/>
  <c r="E52" i="37"/>
  <c r="D52" i="38"/>
  <c r="E52" i="38"/>
  <c r="H51" i="38"/>
  <c r="I51" i="38" s="1"/>
  <c r="F132" i="44"/>
  <c r="B132" i="44"/>
  <c r="H60" i="4"/>
  <c r="I60" i="4" s="1"/>
  <c r="D57" i="24"/>
  <c r="E57" i="24"/>
  <c r="H62" i="11"/>
  <c r="I130" i="43"/>
  <c r="H130" i="43"/>
  <c r="H51" i="43"/>
  <c r="H131" i="44"/>
  <c r="I131" i="44"/>
  <c r="G60" i="5"/>
  <c r="D53" i="13"/>
  <c r="H57" i="23"/>
  <c r="I57" i="23" s="1"/>
  <c r="D53" i="39"/>
  <c r="E53" i="39"/>
  <c r="D52" i="41"/>
  <c r="E52" i="41"/>
  <c r="G51" i="37"/>
  <c r="I51" i="37" s="1"/>
  <c r="D61" i="3"/>
  <c r="E61" i="3" s="1"/>
  <c r="E55" i="28"/>
  <c r="D55" i="28"/>
  <c r="G62" i="11"/>
  <c r="B131" i="43"/>
  <c r="F131" i="43"/>
  <c r="H50" i="42"/>
  <c r="I50" i="42" s="1"/>
  <c r="G62" i="9" l="1"/>
  <c r="G56" i="29"/>
  <c r="I56" i="29" s="1"/>
  <c r="E63" i="9"/>
  <c r="F63" i="9" s="1"/>
  <c r="B63" i="9"/>
  <c r="G55" i="27"/>
  <c r="I55" i="27" s="1"/>
  <c r="D56" i="27"/>
  <c r="E56" i="27" s="1"/>
  <c r="B61" i="6"/>
  <c r="H62" i="9"/>
  <c r="I62" i="9" s="1"/>
  <c r="E61" i="6"/>
  <c r="F61" i="6" s="1"/>
  <c r="F51" i="44"/>
  <c r="B51" i="44"/>
  <c r="E136" i="27"/>
  <c r="D136" i="27"/>
  <c r="G135" i="27"/>
  <c r="J130" i="45"/>
  <c r="J155" i="45" s="1"/>
  <c r="E142" i="11"/>
  <c r="D142" i="11"/>
  <c r="G141" i="11"/>
  <c r="H131" i="38"/>
  <c r="I131" i="38"/>
  <c r="J134" i="27"/>
  <c r="D143" i="10"/>
  <c r="G142" i="10"/>
  <c r="E143" i="10"/>
  <c r="J138" i="3"/>
  <c r="G134" i="28"/>
  <c r="E135" i="28"/>
  <c r="D135" i="28"/>
  <c r="J138" i="4"/>
  <c r="G138" i="25"/>
  <c r="D139" i="25"/>
  <c r="E139" i="25"/>
  <c r="D140" i="4"/>
  <c r="G139" i="4"/>
  <c r="E140" i="4"/>
  <c r="D141" i="6"/>
  <c r="E141" i="6"/>
  <c r="G140" i="6"/>
  <c r="E134" i="30"/>
  <c r="G133" i="30"/>
  <c r="D134" i="30"/>
  <c r="J139" i="8"/>
  <c r="D140" i="5"/>
  <c r="E140" i="5"/>
  <c r="G139" i="5"/>
  <c r="G131" i="37"/>
  <c r="D132" i="37"/>
  <c r="E132" i="37"/>
  <c r="D140" i="3"/>
  <c r="G139" i="3"/>
  <c r="E140" i="3"/>
  <c r="D142" i="9"/>
  <c r="E142" i="9"/>
  <c r="G141" i="9"/>
  <c r="D138" i="23"/>
  <c r="E138" i="23"/>
  <c r="G137" i="23"/>
  <c r="D132" i="40"/>
  <c r="E132" i="40"/>
  <c r="G131" i="40"/>
  <c r="E143" i="7"/>
  <c r="G142" i="7"/>
  <c r="D143" i="7"/>
  <c r="J130" i="40"/>
  <c r="J155" i="40" s="1"/>
  <c r="F132" i="38"/>
  <c r="B132" i="38"/>
  <c r="G136" i="24"/>
  <c r="D137" i="24"/>
  <c r="E137" i="24"/>
  <c r="E141" i="8"/>
  <c r="D141" i="8"/>
  <c r="G140" i="8"/>
  <c r="G138" i="22"/>
  <c r="E139" i="22"/>
  <c r="D139" i="22"/>
  <c r="J134" i="31"/>
  <c r="I135" i="29"/>
  <c r="H135" i="29"/>
  <c r="J130" i="41"/>
  <c r="J155" i="41" s="1"/>
  <c r="B136" i="29"/>
  <c r="F136" i="29"/>
  <c r="B63" i="10"/>
  <c r="B53" i="13"/>
  <c r="B54" i="30"/>
  <c r="F54" i="30"/>
  <c r="H54" i="30" s="1"/>
  <c r="E53" i="13"/>
  <c r="F53" i="13" s="1"/>
  <c r="G53" i="13" s="1"/>
  <c r="F52" i="40"/>
  <c r="G52" i="40" s="1"/>
  <c r="B52" i="40"/>
  <c r="F59" i="25"/>
  <c r="G59" i="25" s="1"/>
  <c r="B59" i="25"/>
  <c r="G133" i="13"/>
  <c r="D134" i="13"/>
  <c r="B52" i="41"/>
  <c r="F52" i="41"/>
  <c r="G52" i="41" s="1"/>
  <c r="F52" i="37"/>
  <c r="G52" i="37" s="1"/>
  <c r="B52" i="37"/>
  <c r="B55" i="28"/>
  <c r="F55" i="28"/>
  <c r="H55" i="28" s="1"/>
  <c r="B61" i="5"/>
  <c r="F61" i="5"/>
  <c r="H131" i="39"/>
  <c r="I131" i="39"/>
  <c r="D132" i="41"/>
  <c r="G131" i="41"/>
  <c r="E132" i="41"/>
  <c r="I63" i="7"/>
  <c r="B61" i="8"/>
  <c r="F61" i="8"/>
  <c r="H61" i="8" s="1"/>
  <c r="F133" i="42"/>
  <c r="B133" i="42"/>
  <c r="B59" i="22"/>
  <c r="I51" i="43"/>
  <c r="D133" i="44"/>
  <c r="G132" i="44"/>
  <c r="E59" i="22"/>
  <c r="F59" i="22" s="1"/>
  <c r="F51" i="42"/>
  <c r="G51" i="42" s="1"/>
  <c r="B51" i="42"/>
  <c r="B57" i="24"/>
  <c r="F57" i="24"/>
  <c r="H57" i="24" s="1"/>
  <c r="B132" i="39"/>
  <c r="F132" i="39"/>
  <c r="F64" i="7"/>
  <c r="G64" i="7" s="1"/>
  <c r="B64" i="7"/>
  <c r="B61" i="3"/>
  <c r="F61" i="3"/>
  <c r="H61" i="3" s="1"/>
  <c r="J130" i="43"/>
  <c r="J155" i="43" s="1"/>
  <c r="B52" i="43"/>
  <c r="F52" i="43"/>
  <c r="H52" i="43"/>
  <c r="D136" i="31"/>
  <c r="G135" i="31"/>
  <c r="E136" i="31"/>
  <c r="G131" i="43"/>
  <c r="D132" i="43"/>
  <c r="E132" i="43"/>
  <c r="D55" i="31"/>
  <c r="E55" i="31"/>
  <c r="F53" i="39"/>
  <c r="H53" i="39" s="1"/>
  <c r="B53" i="39"/>
  <c r="F58" i="23"/>
  <c r="G58" i="23" s="1"/>
  <c r="B58" i="23"/>
  <c r="I62" i="11"/>
  <c r="F52" i="38"/>
  <c r="G52" i="38" s="1"/>
  <c r="B52" i="38"/>
  <c r="F61" i="4"/>
  <c r="H61" i="4" s="1"/>
  <c r="G61" i="4"/>
  <c r="B61" i="4"/>
  <c r="E57" i="29"/>
  <c r="D57" i="29"/>
  <c r="E63" i="10"/>
  <c r="F63" i="10" s="1"/>
  <c r="G131" i="45"/>
  <c r="D132" i="45"/>
  <c r="E132" i="45" s="1"/>
  <c r="F63" i="11"/>
  <c r="G63" i="11" s="1"/>
  <c r="H63" i="11"/>
  <c r="B63" i="11"/>
  <c r="G54" i="31"/>
  <c r="I54" i="31" s="1"/>
  <c r="F51" i="45"/>
  <c r="G51" i="45" s="1"/>
  <c r="B51" i="45"/>
  <c r="I132" i="42"/>
  <c r="H132" i="42"/>
  <c r="G55" i="28" l="1"/>
  <c r="H64" i="7"/>
  <c r="H58" i="23"/>
  <c r="I58" i="23" s="1"/>
  <c r="G53" i="39"/>
  <c r="G61" i="3"/>
  <c r="I61" i="3" s="1"/>
  <c r="H59" i="25"/>
  <c r="I59" i="25" s="1"/>
  <c r="H52" i="38"/>
  <c r="I52" i="38" s="1"/>
  <c r="I53" i="39"/>
  <c r="H51" i="42"/>
  <c r="I51" i="42" s="1"/>
  <c r="H52" i="37"/>
  <c r="G63" i="9"/>
  <c r="D64" i="9"/>
  <c r="E64" i="9" s="1"/>
  <c r="H63" i="9"/>
  <c r="D62" i="6"/>
  <c r="H61" i="6"/>
  <c r="G61" i="6"/>
  <c r="I52" i="37"/>
  <c r="I54" i="30"/>
  <c r="I61" i="4"/>
  <c r="I64" i="7"/>
  <c r="H53" i="13"/>
  <c r="I53" i="13" s="1"/>
  <c r="G51" i="44"/>
  <c r="D52" i="44"/>
  <c r="E52" i="44"/>
  <c r="G57" i="24"/>
  <c r="I57" i="24" s="1"/>
  <c r="I55" i="28"/>
  <c r="H52" i="41"/>
  <c r="I52" i="41" s="1"/>
  <c r="G54" i="30"/>
  <c r="H51" i="44"/>
  <c r="F56" i="27"/>
  <c r="D57" i="27" s="1"/>
  <c r="B56" i="27"/>
  <c r="B139" i="22"/>
  <c r="F139" i="22"/>
  <c r="B141" i="8"/>
  <c r="F141" i="8"/>
  <c r="H136" i="24"/>
  <c r="I136" i="24"/>
  <c r="F143" i="7"/>
  <c r="B143" i="7"/>
  <c r="B138" i="23"/>
  <c r="F138" i="23"/>
  <c r="B132" i="37"/>
  <c r="F132" i="37"/>
  <c r="B140" i="5"/>
  <c r="F140" i="5"/>
  <c r="B139" i="25"/>
  <c r="F139" i="25"/>
  <c r="H142" i="10"/>
  <c r="I142" i="10"/>
  <c r="H142" i="7"/>
  <c r="I142" i="7"/>
  <c r="F132" i="40"/>
  <c r="B132" i="40"/>
  <c r="H141" i="9"/>
  <c r="I141" i="9"/>
  <c r="H139" i="3"/>
  <c r="I139" i="3"/>
  <c r="I131" i="37"/>
  <c r="H131" i="37"/>
  <c r="I140" i="6"/>
  <c r="J140" i="6" s="1"/>
  <c r="H140" i="6"/>
  <c r="I139" i="4"/>
  <c r="J139" i="4" s="1"/>
  <c r="H139" i="4"/>
  <c r="H138" i="25"/>
  <c r="I138" i="25"/>
  <c r="I134" i="28"/>
  <c r="J134" i="28" s="1"/>
  <c r="H134" i="28"/>
  <c r="F143" i="10"/>
  <c r="B143" i="10"/>
  <c r="H141" i="11"/>
  <c r="I141" i="11"/>
  <c r="H135" i="27"/>
  <c r="I135" i="27"/>
  <c r="H138" i="22"/>
  <c r="I138" i="22"/>
  <c r="G132" i="38"/>
  <c r="D133" i="38"/>
  <c r="E133" i="38"/>
  <c r="I137" i="23"/>
  <c r="H137" i="23"/>
  <c r="F140" i="3"/>
  <c r="B140" i="3"/>
  <c r="H139" i="5"/>
  <c r="I139" i="5"/>
  <c r="J139" i="5" s="1"/>
  <c r="B134" i="30"/>
  <c r="F134" i="30"/>
  <c r="F140" i="4"/>
  <c r="B140" i="4"/>
  <c r="B142" i="11"/>
  <c r="F142" i="11"/>
  <c r="F136" i="27"/>
  <c r="B136" i="27"/>
  <c r="H140" i="8"/>
  <c r="I140" i="8"/>
  <c r="B137" i="24"/>
  <c r="F137" i="24"/>
  <c r="I131" i="40"/>
  <c r="H131" i="40"/>
  <c r="B142" i="9"/>
  <c r="F142" i="9"/>
  <c r="H133" i="30"/>
  <c r="I133" i="30"/>
  <c r="F141" i="6"/>
  <c r="B141" i="6"/>
  <c r="B135" i="28"/>
  <c r="F135" i="28"/>
  <c r="E137" i="29"/>
  <c r="G136" i="29"/>
  <c r="D137" i="29"/>
  <c r="J135" i="29"/>
  <c r="D60" i="22"/>
  <c r="G59" i="22"/>
  <c r="H59" i="22"/>
  <c r="D64" i="10"/>
  <c r="E64" i="10" s="1"/>
  <c r="G63" i="10"/>
  <c r="H63" i="10"/>
  <c r="B133" i="44"/>
  <c r="F57" i="29"/>
  <c r="H57" i="29" s="1"/>
  <c r="B57" i="29"/>
  <c r="B55" i="31"/>
  <c r="F55" i="31"/>
  <c r="H55" i="31" s="1"/>
  <c r="B132" i="43"/>
  <c r="F132" i="43"/>
  <c r="G61" i="8"/>
  <c r="I61" i="8" s="1"/>
  <c r="I131" i="41"/>
  <c r="H131" i="41"/>
  <c r="D62" i="5"/>
  <c r="E62" i="5" s="1"/>
  <c r="D60" i="25"/>
  <c r="E60" i="25" s="1"/>
  <c r="D53" i="40"/>
  <c r="E53" i="40"/>
  <c r="D54" i="13"/>
  <c r="E54" i="13" s="1"/>
  <c r="G133" i="42"/>
  <c r="D134" i="42"/>
  <c r="E134" i="42" s="1"/>
  <c r="F132" i="41"/>
  <c r="B132" i="41"/>
  <c r="H61" i="5"/>
  <c r="H52" i="40"/>
  <c r="I52" i="40" s="1"/>
  <c r="I131" i="45"/>
  <c r="H131" i="45"/>
  <c r="D62" i="8"/>
  <c r="E62" i="8" s="1"/>
  <c r="B134" i="13"/>
  <c r="E133" i="39"/>
  <c r="D133" i="39"/>
  <c r="G132" i="39"/>
  <c r="H51" i="45"/>
  <c r="I51" i="45" s="1"/>
  <c r="D64" i="11"/>
  <c r="E64" i="11" s="1"/>
  <c r="D53" i="38"/>
  <c r="E53" i="38"/>
  <c r="H135" i="31"/>
  <c r="I135" i="31"/>
  <c r="D65" i="7"/>
  <c r="E65" i="7" s="1"/>
  <c r="G61" i="5"/>
  <c r="D53" i="37"/>
  <c r="E53" i="37"/>
  <c r="H133" i="13"/>
  <c r="I133" i="13"/>
  <c r="D52" i="45"/>
  <c r="E52" i="45"/>
  <c r="B136" i="31"/>
  <c r="F136" i="31"/>
  <c r="E58" i="24"/>
  <c r="D58" i="24"/>
  <c r="H132" i="44"/>
  <c r="I132" i="44"/>
  <c r="E134" i="13"/>
  <c r="F134" i="13" s="1"/>
  <c r="E55" i="30"/>
  <c r="D55" i="30"/>
  <c r="D53" i="43"/>
  <c r="E53" i="43"/>
  <c r="D59" i="23"/>
  <c r="E59" i="23" s="1"/>
  <c r="H131" i="43"/>
  <c r="I131" i="43"/>
  <c r="I63" i="11"/>
  <c r="B132" i="45"/>
  <c r="F132" i="45"/>
  <c r="D62" i="4"/>
  <c r="E62" i="4" s="1"/>
  <c r="D54" i="39"/>
  <c r="E54" i="39"/>
  <c r="G52" i="43"/>
  <c r="I52" i="43" s="1"/>
  <c r="D62" i="3"/>
  <c r="E62" i="3" s="1"/>
  <c r="D52" i="42"/>
  <c r="E52" i="42"/>
  <c r="E133" i="44"/>
  <c r="F133" i="44" s="1"/>
  <c r="D56" i="28"/>
  <c r="E56" i="28"/>
  <c r="D53" i="41"/>
  <c r="E53" i="41"/>
  <c r="G57" i="29" l="1"/>
  <c r="I63" i="9"/>
  <c r="I57" i="29"/>
  <c r="H56" i="27"/>
  <c r="I61" i="6"/>
  <c r="G56" i="27"/>
  <c r="B62" i="6"/>
  <c r="F64" i="9"/>
  <c r="H64" i="9" s="1"/>
  <c r="B64" i="9"/>
  <c r="E57" i="27"/>
  <c r="F57" i="27" s="1"/>
  <c r="B57" i="27"/>
  <c r="I51" i="44"/>
  <c r="I59" i="22"/>
  <c r="F52" i="44"/>
  <c r="B52" i="44"/>
  <c r="E62" i="6"/>
  <c r="F62" i="6" s="1"/>
  <c r="E142" i="6"/>
  <c r="G141" i="6"/>
  <c r="D142" i="6"/>
  <c r="D137" i="27"/>
  <c r="G136" i="27"/>
  <c r="E137" i="27"/>
  <c r="D141" i="4"/>
  <c r="E141" i="4"/>
  <c r="G140" i="4"/>
  <c r="J142" i="7"/>
  <c r="G139" i="25"/>
  <c r="E140" i="25"/>
  <c r="D140" i="25"/>
  <c r="E133" i="37"/>
  <c r="G132" i="37"/>
  <c r="D133" i="37"/>
  <c r="D142" i="8"/>
  <c r="E142" i="8"/>
  <c r="G141" i="8"/>
  <c r="E136" i="28"/>
  <c r="G135" i="28"/>
  <c r="D136" i="28"/>
  <c r="J133" i="30"/>
  <c r="J140" i="8"/>
  <c r="E143" i="11"/>
  <c r="G142" i="11"/>
  <c r="D143" i="11"/>
  <c r="E135" i="30"/>
  <c r="D135" i="30"/>
  <c r="G134" i="30"/>
  <c r="D144" i="7"/>
  <c r="G143" i="7"/>
  <c r="E144" i="7"/>
  <c r="G140" i="3"/>
  <c r="D141" i="3"/>
  <c r="E141" i="3"/>
  <c r="B133" i="38"/>
  <c r="F133" i="38"/>
  <c r="J135" i="27"/>
  <c r="J139" i="3"/>
  <c r="J142" i="10"/>
  <c r="G140" i="5"/>
  <c r="D141" i="5"/>
  <c r="E141" i="5"/>
  <c r="G138" i="23"/>
  <c r="D139" i="23"/>
  <c r="E139" i="23"/>
  <c r="G139" i="22"/>
  <c r="E140" i="22"/>
  <c r="D140" i="22"/>
  <c r="E143" i="9"/>
  <c r="G142" i="9"/>
  <c r="D143" i="9"/>
  <c r="E138" i="24"/>
  <c r="G137" i="24"/>
  <c r="D138" i="24"/>
  <c r="H132" i="38"/>
  <c r="I132" i="38"/>
  <c r="G143" i="10"/>
  <c r="D144" i="10"/>
  <c r="E144" i="10"/>
  <c r="G132" i="40"/>
  <c r="D133" i="40"/>
  <c r="E133" i="40"/>
  <c r="B137" i="29"/>
  <c r="F137" i="29"/>
  <c r="H136" i="29"/>
  <c r="I136" i="29"/>
  <c r="J135" i="31"/>
  <c r="D134" i="44"/>
  <c r="E134" i="44" s="1"/>
  <c r="G133" i="44"/>
  <c r="E137" i="31"/>
  <c r="D137" i="31"/>
  <c r="G136" i="31"/>
  <c r="B53" i="41"/>
  <c r="F53" i="41"/>
  <c r="G53" i="41" s="1"/>
  <c r="B54" i="39"/>
  <c r="F54" i="39"/>
  <c r="F65" i="7"/>
  <c r="H65" i="7" s="1"/>
  <c r="B65" i="7"/>
  <c r="I133" i="42"/>
  <c r="H133" i="42"/>
  <c r="F64" i="10"/>
  <c r="H64" i="10" s="1"/>
  <c r="B64" i="10"/>
  <c r="B54" i="13"/>
  <c r="F54" i="13"/>
  <c r="H54" i="13" s="1"/>
  <c r="B53" i="37"/>
  <c r="F53" i="37"/>
  <c r="G53" i="37" s="1"/>
  <c r="B53" i="38"/>
  <c r="F53" i="38"/>
  <c r="H53" i="38"/>
  <c r="G132" i="43"/>
  <c r="D133" i="43"/>
  <c r="E133" i="43"/>
  <c r="F53" i="43"/>
  <c r="G53" i="43" s="1"/>
  <c r="B53" i="43"/>
  <c r="B58" i="24"/>
  <c r="F58" i="24"/>
  <c r="H58" i="24" s="1"/>
  <c r="G58" i="24"/>
  <c r="D135" i="13"/>
  <c r="G134" i="13"/>
  <c r="G132" i="41"/>
  <c r="D133" i="41"/>
  <c r="E133" i="41"/>
  <c r="B62" i="5"/>
  <c r="F62" i="5"/>
  <c r="D58" i="29"/>
  <c r="E58" i="29" s="1"/>
  <c r="B52" i="45"/>
  <c r="F52" i="45"/>
  <c r="G52" i="45" s="1"/>
  <c r="F64" i="11"/>
  <c r="H64" i="11" s="1"/>
  <c r="B64" i="11"/>
  <c r="H132" i="39"/>
  <c r="I132" i="39"/>
  <c r="B53" i="40"/>
  <c r="F53" i="40"/>
  <c r="H53" i="40" s="1"/>
  <c r="B60" i="22"/>
  <c r="F52" i="42"/>
  <c r="G52" i="42" s="1"/>
  <c r="B52" i="42"/>
  <c r="B134" i="42"/>
  <c r="F134" i="42"/>
  <c r="B55" i="30"/>
  <c r="F55" i="30"/>
  <c r="H55" i="30" s="1"/>
  <c r="F62" i="4"/>
  <c r="H62" i="4" s="1"/>
  <c r="B62" i="4"/>
  <c r="F133" i="39"/>
  <c r="B133" i="39"/>
  <c r="F62" i="8"/>
  <c r="H62" i="8" s="1"/>
  <c r="B62" i="8"/>
  <c r="D56" i="31"/>
  <c r="E56" i="31"/>
  <c r="E60" i="22"/>
  <c r="F60" i="22" s="1"/>
  <c r="F56" i="28"/>
  <c r="H56" i="28" s="1"/>
  <c r="B56" i="28"/>
  <c r="B62" i="3"/>
  <c r="F62" i="3"/>
  <c r="H62" i="3" s="1"/>
  <c r="G62" i="3"/>
  <c r="D133" i="45"/>
  <c r="E133" i="45" s="1"/>
  <c r="G132" i="45"/>
  <c r="B59" i="23"/>
  <c r="F59" i="23"/>
  <c r="H59" i="23" s="1"/>
  <c r="B60" i="25"/>
  <c r="F60" i="25"/>
  <c r="H60" i="25" s="1"/>
  <c r="G55" i="31"/>
  <c r="I55" i="31" s="1"/>
  <c r="I63" i="10"/>
  <c r="G56" i="28" l="1"/>
  <c r="H52" i="45"/>
  <c r="H53" i="37"/>
  <c r="G55" i="30"/>
  <c r="G53" i="40"/>
  <c r="I56" i="28"/>
  <c r="G62" i="4"/>
  <c r="I62" i="4" s="1"/>
  <c r="H52" i="42"/>
  <c r="D63" i="6"/>
  <c r="H62" i="6"/>
  <c r="G62" i="6"/>
  <c r="D58" i="27"/>
  <c r="E58" i="27" s="1"/>
  <c r="G57" i="27"/>
  <c r="H57" i="27"/>
  <c r="I62" i="3"/>
  <c r="G59" i="23"/>
  <c r="I59" i="23" s="1"/>
  <c r="I53" i="40"/>
  <c r="I56" i="27"/>
  <c r="I55" i="30"/>
  <c r="G52" i="44"/>
  <c r="E53" i="44"/>
  <c r="D53" i="44"/>
  <c r="I58" i="24"/>
  <c r="H52" i="44"/>
  <c r="G64" i="9"/>
  <c r="I64" i="9" s="1"/>
  <c r="D65" i="9"/>
  <c r="E65" i="9"/>
  <c r="B144" i="10"/>
  <c r="F144" i="10"/>
  <c r="F138" i="24"/>
  <c r="B138" i="24"/>
  <c r="H142" i="9"/>
  <c r="I142" i="9"/>
  <c r="I139" i="22"/>
  <c r="H139" i="22"/>
  <c r="I143" i="7"/>
  <c r="J143" i="7" s="1"/>
  <c r="H143" i="7"/>
  <c r="F133" i="37"/>
  <c r="B133" i="37"/>
  <c r="F137" i="27"/>
  <c r="B137" i="27"/>
  <c r="B133" i="40"/>
  <c r="F133" i="40"/>
  <c r="H143" i="10"/>
  <c r="I143" i="10"/>
  <c r="I137" i="24"/>
  <c r="H137" i="24"/>
  <c r="F141" i="5"/>
  <c r="B141" i="5"/>
  <c r="B141" i="3"/>
  <c r="F141" i="3"/>
  <c r="F144" i="7"/>
  <c r="B144" i="7"/>
  <c r="F143" i="11"/>
  <c r="B143" i="11"/>
  <c r="H141" i="8"/>
  <c r="I141" i="8"/>
  <c r="I132" i="37"/>
  <c r="H132" i="37"/>
  <c r="I139" i="25"/>
  <c r="H139" i="25"/>
  <c r="B141" i="4"/>
  <c r="F141" i="4"/>
  <c r="F142" i="6"/>
  <c r="B142" i="6"/>
  <c r="J136" i="29"/>
  <c r="I132" i="40"/>
  <c r="H132" i="40"/>
  <c r="B140" i="22"/>
  <c r="F140" i="22"/>
  <c r="B139" i="23"/>
  <c r="F139" i="23"/>
  <c r="I140" i="5"/>
  <c r="J140" i="5" s="1"/>
  <c r="H140" i="5"/>
  <c r="G133" i="38"/>
  <c r="E134" i="38"/>
  <c r="D134" i="38"/>
  <c r="H140" i="3"/>
  <c r="I140" i="3"/>
  <c r="J140" i="3" s="1"/>
  <c r="I134" i="30"/>
  <c r="H134" i="30"/>
  <c r="I142" i="11"/>
  <c r="H142" i="11"/>
  <c r="B136" i="28"/>
  <c r="F136" i="28"/>
  <c r="H141" i="6"/>
  <c r="I141" i="6"/>
  <c r="J141" i="6" s="1"/>
  <c r="B143" i="9"/>
  <c r="F143" i="9"/>
  <c r="I138" i="23"/>
  <c r="H138" i="23"/>
  <c r="F135" i="30"/>
  <c r="B135" i="30"/>
  <c r="H135" i="28"/>
  <c r="I135" i="28"/>
  <c r="J135" i="28" s="1"/>
  <c r="B142" i="8"/>
  <c r="F142" i="8"/>
  <c r="F140" i="25"/>
  <c r="B140" i="25"/>
  <c r="H140" i="4"/>
  <c r="I140" i="4"/>
  <c r="I136" i="27"/>
  <c r="H136" i="27"/>
  <c r="D138" i="29"/>
  <c r="E138" i="29"/>
  <c r="G137" i="29"/>
  <c r="D61" i="22"/>
  <c r="H60" i="22"/>
  <c r="G60" i="22"/>
  <c r="G54" i="13"/>
  <c r="I54" i="13" s="1"/>
  <c r="D54" i="40"/>
  <c r="E54" i="40"/>
  <c r="H53" i="41"/>
  <c r="I53" i="41" s="1"/>
  <c r="F137" i="31"/>
  <c r="B137" i="31"/>
  <c r="I52" i="45"/>
  <c r="D59" i="24"/>
  <c r="H136" i="31"/>
  <c r="I136" i="31"/>
  <c r="D65" i="11"/>
  <c r="E65" i="11"/>
  <c r="B58" i="29"/>
  <c r="F58" i="29"/>
  <c r="H58" i="29" s="1"/>
  <c r="B133" i="41"/>
  <c r="F133" i="41"/>
  <c r="B133" i="43"/>
  <c r="F133" i="43"/>
  <c r="D55" i="39"/>
  <c r="E55" i="39"/>
  <c r="D54" i="38"/>
  <c r="E54" i="38"/>
  <c r="H132" i="45"/>
  <c r="I132" i="45"/>
  <c r="E56" i="30"/>
  <c r="D56" i="30"/>
  <c r="B133" i="45"/>
  <c r="F133" i="45"/>
  <c r="D53" i="42"/>
  <c r="E53" i="42"/>
  <c r="D135" i="42"/>
  <c r="G134" i="42"/>
  <c r="G64" i="11"/>
  <c r="I64" i="11" s="1"/>
  <c r="D63" i="5"/>
  <c r="E63" i="5" s="1"/>
  <c r="I132" i="41"/>
  <c r="H132" i="41"/>
  <c r="I132" i="43"/>
  <c r="H132" i="43"/>
  <c r="I53" i="37"/>
  <c r="H133" i="44"/>
  <c r="I133" i="44"/>
  <c r="B135" i="13"/>
  <c r="D65" i="10"/>
  <c r="D55" i="13"/>
  <c r="E55" i="13" s="1"/>
  <c r="I52" i="42"/>
  <c r="D61" i="25"/>
  <c r="E61" i="25"/>
  <c r="D63" i="8"/>
  <c r="E63" i="8" s="1"/>
  <c r="G60" i="25"/>
  <c r="I60" i="25" s="1"/>
  <c r="D63" i="3"/>
  <c r="E63" i="3" s="1"/>
  <c r="G62" i="8"/>
  <c r="I62" i="8" s="1"/>
  <c r="D63" i="4"/>
  <c r="E63" i="4" s="1"/>
  <c r="H62" i="5"/>
  <c r="H134" i="13"/>
  <c r="I134" i="13"/>
  <c r="D54" i="43"/>
  <c r="E54" i="43"/>
  <c r="D54" i="37"/>
  <c r="E54" i="37"/>
  <c r="D66" i="7"/>
  <c r="E66" i="7" s="1"/>
  <c r="H54" i="39"/>
  <c r="D134" i="39"/>
  <c r="G133" i="39"/>
  <c r="E134" i="39"/>
  <c r="D54" i="41"/>
  <c r="E54" i="41"/>
  <c r="D60" i="23"/>
  <c r="E60" i="23" s="1"/>
  <c r="D57" i="28"/>
  <c r="E57" i="28"/>
  <c r="F56" i="31"/>
  <c r="G56" i="31" s="1"/>
  <c r="B56" i="31"/>
  <c r="D53" i="45"/>
  <c r="E53" i="45"/>
  <c r="G62" i="5"/>
  <c r="E135" i="13"/>
  <c r="F135" i="13" s="1"/>
  <c r="H53" i="43"/>
  <c r="I53" i="43" s="1"/>
  <c r="G53" i="38"/>
  <c r="I53" i="38" s="1"/>
  <c r="G64" i="10"/>
  <c r="I64" i="10" s="1"/>
  <c r="G65" i="7"/>
  <c r="I65" i="7" s="1"/>
  <c r="G54" i="39"/>
  <c r="F134" i="44"/>
  <c r="B134" i="44"/>
  <c r="H56" i="31" l="1"/>
  <c r="F65" i="9"/>
  <c r="G65" i="9" s="1"/>
  <c r="B65" i="9"/>
  <c r="I62" i="6"/>
  <c r="I54" i="39"/>
  <c r="H65" i="9"/>
  <c r="F53" i="44"/>
  <c r="G53" i="44" s="1"/>
  <c r="B53" i="44"/>
  <c r="F58" i="27"/>
  <c r="B58" i="27"/>
  <c r="G58" i="27"/>
  <c r="B63" i="6"/>
  <c r="I60" i="22"/>
  <c r="I52" i="44"/>
  <c r="I57" i="27"/>
  <c r="E63" i="6"/>
  <c r="F63" i="6" s="1"/>
  <c r="I133" i="38"/>
  <c r="H133" i="38"/>
  <c r="G141" i="4"/>
  <c r="D142" i="4"/>
  <c r="E142" i="4"/>
  <c r="E142" i="3"/>
  <c r="D142" i="3"/>
  <c r="G141" i="3"/>
  <c r="D134" i="40"/>
  <c r="E134" i="40"/>
  <c r="G133" i="40"/>
  <c r="J136" i="27"/>
  <c r="E141" i="25"/>
  <c r="G140" i="25"/>
  <c r="D141" i="25"/>
  <c r="E141" i="22"/>
  <c r="G140" i="22"/>
  <c r="D141" i="22"/>
  <c r="E144" i="11"/>
  <c r="G143" i="11"/>
  <c r="D144" i="11"/>
  <c r="E134" i="37"/>
  <c r="G133" i="37"/>
  <c r="D134" i="37"/>
  <c r="D139" i="24"/>
  <c r="G138" i="24"/>
  <c r="E139" i="24"/>
  <c r="J140" i="4"/>
  <c r="G142" i="8"/>
  <c r="E143" i="8"/>
  <c r="D143" i="8"/>
  <c r="G143" i="9"/>
  <c r="D144" i="9"/>
  <c r="E144" i="9"/>
  <c r="G136" i="28"/>
  <c r="E137" i="28"/>
  <c r="D137" i="28"/>
  <c r="B134" i="38"/>
  <c r="F134" i="38"/>
  <c r="J141" i="8"/>
  <c r="J143" i="10"/>
  <c r="E145" i="10"/>
  <c r="D145" i="10"/>
  <c r="G144" i="10"/>
  <c r="D136" i="30"/>
  <c r="E136" i="30"/>
  <c r="G135" i="30"/>
  <c r="J134" i="30"/>
  <c r="E140" i="23"/>
  <c r="D140" i="23"/>
  <c r="G139" i="23"/>
  <c r="D143" i="6"/>
  <c r="E143" i="6"/>
  <c r="G142" i="6"/>
  <c r="E145" i="7"/>
  <c r="D145" i="7"/>
  <c r="G144" i="7"/>
  <c r="D142" i="5"/>
  <c r="E142" i="5"/>
  <c r="G141" i="5"/>
  <c r="D138" i="27"/>
  <c r="E138" i="27"/>
  <c r="G137" i="27"/>
  <c r="H137" i="29"/>
  <c r="I137" i="29"/>
  <c r="B138" i="29"/>
  <c r="F138" i="29"/>
  <c r="D136" i="13"/>
  <c r="E136" i="13" s="1"/>
  <c r="G135" i="13"/>
  <c r="F55" i="39"/>
  <c r="H55" i="39" s="1"/>
  <c r="G55" i="39"/>
  <c r="B55" i="39"/>
  <c r="F63" i="3"/>
  <c r="H63" i="3" s="1"/>
  <c r="G63" i="3"/>
  <c r="B63" i="3"/>
  <c r="F55" i="13"/>
  <c r="H55" i="13" s="1"/>
  <c r="B55" i="13"/>
  <c r="B63" i="5"/>
  <c r="F63" i="5"/>
  <c r="H63" i="5" s="1"/>
  <c r="F65" i="11"/>
  <c r="B65" i="11"/>
  <c r="B57" i="28"/>
  <c r="F57" i="28"/>
  <c r="G57" i="28" s="1"/>
  <c r="B66" i="7"/>
  <c r="F66" i="7"/>
  <c r="H66" i="7" s="1"/>
  <c r="G133" i="41"/>
  <c r="D134" i="41"/>
  <c r="E134" i="41"/>
  <c r="J136" i="31"/>
  <c r="E138" i="31"/>
  <c r="D138" i="31"/>
  <c r="G137" i="31"/>
  <c r="B135" i="42"/>
  <c r="I56" i="31"/>
  <c r="B53" i="42"/>
  <c r="F53" i="42"/>
  <c r="H53" i="42" s="1"/>
  <c r="B65" i="10"/>
  <c r="H61" i="25"/>
  <c r="B61" i="25"/>
  <c r="F61" i="25"/>
  <c r="G61" i="25" s="1"/>
  <c r="I133" i="39"/>
  <c r="H133" i="39"/>
  <c r="B63" i="8"/>
  <c r="F63" i="8"/>
  <c r="G63" i="8" s="1"/>
  <c r="H63" i="8"/>
  <c r="D134" i="45"/>
  <c r="E134" i="45" s="1"/>
  <c r="G133" i="45"/>
  <c r="B59" i="24"/>
  <c r="F54" i="40"/>
  <c r="H54" i="40" s="1"/>
  <c r="G54" i="40"/>
  <c r="B54" i="40"/>
  <c r="B61" i="22"/>
  <c r="B56" i="30"/>
  <c r="F56" i="30"/>
  <c r="H56" i="30" s="1"/>
  <c r="B60" i="23"/>
  <c r="F60" i="23"/>
  <c r="G60" i="23" s="1"/>
  <c r="F54" i="41"/>
  <c r="G54" i="41" s="1"/>
  <c r="B54" i="41"/>
  <c r="G134" i="44"/>
  <c r="D135" i="44"/>
  <c r="E135" i="44" s="1"/>
  <c r="B54" i="43"/>
  <c r="F54" i="43"/>
  <c r="G54" i="43" s="1"/>
  <c r="B53" i="45"/>
  <c r="F53" i="45"/>
  <c r="H53" i="45" s="1"/>
  <c r="F134" i="39"/>
  <c r="B134" i="39"/>
  <c r="I134" i="42"/>
  <c r="H134" i="42"/>
  <c r="D59" i="29"/>
  <c r="E59" i="29" s="1"/>
  <c r="E59" i="24"/>
  <c r="F59" i="24" s="1"/>
  <c r="G59" i="24" s="1"/>
  <c r="E61" i="22"/>
  <c r="F61" i="22" s="1"/>
  <c r="D134" i="43"/>
  <c r="G133" i="43"/>
  <c r="E134" i="43"/>
  <c r="D57" i="31"/>
  <c r="E57" i="31"/>
  <c r="B54" i="37"/>
  <c r="F54" i="37"/>
  <c r="G54" i="37" s="1"/>
  <c r="H54" i="37"/>
  <c r="B63" i="4"/>
  <c r="F63" i="4"/>
  <c r="G63" i="4" s="1"/>
  <c r="E65" i="10"/>
  <c r="F65" i="10" s="1"/>
  <c r="E135" i="42"/>
  <c r="F135" i="42" s="1"/>
  <c r="B54" i="38"/>
  <c r="F54" i="38"/>
  <c r="G54" i="38"/>
  <c r="G58" i="29"/>
  <c r="I58" i="29" s="1"/>
  <c r="I55" i="39" l="1"/>
  <c r="I65" i="9"/>
  <c r="G55" i="13"/>
  <c r="I55" i="13" s="1"/>
  <c r="I63" i="3"/>
  <c r="G53" i="42"/>
  <c r="G66" i="7"/>
  <c r="H60" i="23"/>
  <c r="H63" i="6"/>
  <c r="D64" i="6"/>
  <c r="E64" i="6" s="1"/>
  <c r="G63" i="6"/>
  <c r="H61" i="22"/>
  <c r="G61" i="22"/>
  <c r="I54" i="40"/>
  <c r="G56" i="30"/>
  <c r="I56" i="30" s="1"/>
  <c r="I53" i="42"/>
  <c r="H58" i="27"/>
  <c r="I58" i="27" s="1"/>
  <c r="D59" i="27"/>
  <c r="I61" i="25"/>
  <c r="D54" i="44"/>
  <c r="E54" i="44"/>
  <c r="H53" i="44"/>
  <c r="I53" i="44" s="1"/>
  <c r="D66" i="9"/>
  <c r="E66" i="9" s="1"/>
  <c r="I141" i="5"/>
  <c r="H141" i="5"/>
  <c r="F145" i="7"/>
  <c r="B145" i="7"/>
  <c r="F143" i="6"/>
  <c r="B143" i="6"/>
  <c r="I144" i="10"/>
  <c r="H144" i="10"/>
  <c r="I143" i="9"/>
  <c r="H143" i="9"/>
  <c r="F134" i="37"/>
  <c r="B134" i="37"/>
  <c r="H143" i="11"/>
  <c r="I143" i="11"/>
  <c r="H141" i="3"/>
  <c r="I141" i="3"/>
  <c r="J141" i="3" s="1"/>
  <c r="F142" i="4"/>
  <c r="B142" i="4"/>
  <c r="J137" i="29"/>
  <c r="I137" i="27"/>
  <c r="J137" i="27" s="1"/>
  <c r="H137" i="27"/>
  <c r="I139" i="23"/>
  <c r="H139" i="23"/>
  <c r="I135" i="30"/>
  <c r="J135" i="30" s="1"/>
  <c r="H135" i="30"/>
  <c r="F145" i="10"/>
  <c r="B145" i="10"/>
  <c r="D135" i="38"/>
  <c r="G134" i="38"/>
  <c r="E135" i="38"/>
  <c r="H136" i="28"/>
  <c r="I136" i="28"/>
  <c r="J136" i="28" s="1"/>
  <c r="B143" i="8"/>
  <c r="F143" i="8"/>
  <c r="H133" i="37"/>
  <c r="I133" i="37"/>
  <c r="B141" i="25"/>
  <c r="F141" i="25"/>
  <c r="H133" i="40"/>
  <c r="I133" i="40"/>
  <c r="B142" i="3"/>
  <c r="F142" i="3"/>
  <c r="H141" i="4"/>
  <c r="I141" i="4"/>
  <c r="J141" i="4" s="1"/>
  <c r="F142" i="5"/>
  <c r="B142" i="5"/>
  <c r="H142" i="6"/>
  <c r="I142" i="6"/>
  <c r="J142" i="6" s="1"/>
  <c r="F140" i="23"/>
  <c r="B140" i="23"/>
  <c r="H138" i="24"/>
  <c r="I138" i="24"/>
  <c r="B141" i="22"/>
  <c r="F141" i="22"/>
  <c r="I140" i="25"/>
  <c r="H140" i="25"/>
  <c r="B138" i="27"/>
  <c r="F138" i="27"/>
  <c r="I144" i="7"/>
  <c r="H144" i="7"/>
  <c r="F136" i="30"/>
  <c r="B136" i="30"/>
  <c r="B137" i="28"/>
  <c r="F137" i="28"/>
  <c r="F144" i="9"/>
  <c r="B144" i="9"/>
  <c r="H142" i="8"/>
  <c r="I142" i="8"/>
  <c r="J142" i="8" s="1"/>
  <c r="B139" i="24"/>
  <c r="F139" i="24"/>
  <c r="B144" i="11"/>
  <c r="F144" i="11"/>
  <c r="I140" i="22"/>
  <c r="H140" i="22"/>
  <c r="F134" i="40"/>
  <c r="B134" i="40"/>
  <c r="G138" i="29"/>
  <c r="E139" i="29"/>
  <c r="D139" i="29"/>
  <c r="D66" i="10"/>
  <c r="E66" i="10" s="1"/>
  <c r="H65" i="10"/>
  <c r="G65" i="10"/>
  <c r="I54" i="37"/>
  <c r="I134" i="44"/>
  <c r="H134" i="44"/>
  <c r="I63" i="8"/>
  <c r="E55" i="37"/>
  <c r="D55" i="37"/>
  <c r="H54" i="41"/>
  <c r="I54" i="41" s="1"/>
  <c r="D64" i="8"/>
  <c r="E64" i="8" s="1"/>
  <c r="D54" i="42"/>
  <c r="E54" i="42"/>
  <c r="I133" i="41"/>
  <c r="H133" i="41"/>
  <c r="I66" i="7"/>
  <c r="D56" i="13"/>
  <c r="E56" i="13" s="1"/>
  <c r="D55" i="38"/>
  <c r="E55" i="38"/>
  <c r="B134" i="41"/>
  <c r="F134" i="41"/>
  <c r="H54" i="43"/>
  <c r="I54" i="43" s="1"/>
  <c r="D57" i="30"/>
  <c r="E57" i="30"/>
  <c r="D58" i="28"/>
  <c r="E58" i="28" s="1"/>
  <c r="E54" i="45"/>
  <c r="D54" i="45"/>
  <c r="D55" i="40"/>
  <c r="E55" i="40"/>
  <c r="H63" i="4"/>
  <c r="I63" i="4" s="1"/>
  <c r="E135" i="39"/>
  <c r="D135" i="39"/>
  <c r="G134" i="39"/>
  <c r="D62" i="22"/>
  <c r="H133" i="45"/>
  <c r="I133" i="45"/>
  <c r="H137" i="31"/>
  <c r="I137" i="31"/>
  <c r="J137" i="31" s="1"/>
  <c r="D66" i="11"/>
  <c r="D64" i="5"/>
  <c r="E64" i="5"/>
  <c r="D136" i="42"/>
  <c r="E136" i="42" s="1"/>
  <c r="G135" i="42"/>
  <c r="D60" i="24"/>
  <c r="E60" i="24" s="1"/>
  <c r="D55" i="43"/>
  <c r="E55" i="43"/>
  <c r="D55" i="41"/>
  <c r="E55" i="41"/>
  <c r="F134" i="45"/>
  <c r="B134" i="45"/>
  <c r="D62" i="25"/>
  <c r="E62" i="25" s="1"/>
  <c r="F138" i="31"/>
  <c r="B138" i="31"/>
  <c r="H65" i="11"/>
  <c r="G63" i="5"/>
  <c r="D64" i="4"/>
  <c r="H133" i="43"/>
  <c r="I133" i="43"/>
  <c r="D61" i="23"/>
  <c r="E61" i="23" s="1"/>
  <c r="H59" i="24"/>
  <c r="I59" i="24" s="1"/>
  <c r="G65" i="11"/>
  <c r="D64" i="3"/>
  <c r="H135" i="13"/>
  <c r="I135" i="13"/>
  <c r="I60" i="23"/>
  <c r="H54" i="38"/>
  <c r="I54" i="38" s="1"/>
  <c r="B57" i="31"/>
  <c r="F57" i="31"/>
  <c r="G57" i="31" s="1"/>
  <c r="B134" i="43"/>
  <c r="F134" i="43"/>
  <c r="F59" i="29"/>
  <c r="H59" i="29" s="1"/>
  <c r="B59" i="29"/>
  <c r="G53" i="45"/>
  <c r="I53" i="45" s="1"/>
  <c r="F135" i="44"/>
  <c r="B135" i="44"/>
  <c r="D67" i="7"/>
  <c r="E67" i="7" s="1"/>
  <c r="H57" i="28"/>
  <c r="I57" i="28" s="1"/>
  <c r="D56" i="39"/>
  <c r="E56" i="39"/>
  <c r="F136" i="13"/>
  <c r="B136" i="13"/>
  <c r="H57" i="31" l="1"/>
  <c r="B59" i="27"/>
  <c r="F54" i="44"/>
  <c r="G54" i="44" s="1"/>
  <c r="B54" i="44"/>
  <c r="F66" i="9"/>
  <c r="B66" i="9"/>
  <c r="F64" i="6"/>
  <c r="D65" i="6" s="1"/>
  <c r="B64" i="6"/>
  <c r="I65" i="11"/>
  <c r="E59" i="27"/>
  <c r="F59" i="27" s="1"/>
  <c r="I61" i="22"/>
  <c r="I63" i="6"/>
  <c r="G144" i="11"/>
  <c r="D145" i="11"/>
  <c r="E145" i="11"/>
  <c r="E138" i="28"/>
  <c r="D138" i="28"/>
  <c r="G137" i="28"/>
  <c r="F135" i="38"/>
  <c r="B135" i="38"/>
  <c r="G134" i="40"/>
  <c r="D135" i="40"/>
  <c r="E135" i="40"/>
  <c r="J144" i="7"/>
  <c r="D135" i="37"/>
  <c r="G134" i="37"/>
  <c r="E135" i="37"/>
  <c r="J144" i="10"/>
  <c r="G145" i="7"/>
  <c r="D146" i="7"/>
  <c r="D140" i="24"/>
  <c r="G139" i="24"/>
  <c r="E140" i="24"/>
  <c r="E139" i="27"/>
  <c r="G138" i="27"/>
  <c r="D139" i="27"/>
  <c r="G141" i="22"/>
  <c r="E142" i="22"/>
  <c r="D142" i="22"/>
  <c r="E143" i="3"/>
  <c r="G142" i="3"/>
  <c r="D143" i="3"/>
  <c r="G141" i="25"/>
  <c r="D142" i="25"/>
  <c r="E142" i="25"/>
  <c r="G143" i="8"/>
  <c r="E144" i="8"/>
  <c r="D144" i="8"/>
  <c r="E146" i="10"/>
  <c r="D146" i="10"/>
  <c r="G145" i="10"/>
  <c r="D145" i="9"/>
  <c r="G144" i="9"/>
  <c r="E145" i="9"/>
  <c r="D137" i="30"/>
  <c r="E137" i="30"/>
  <c r="G136" i="30"/>
  <c r="D141" i="23"/>
  <c r="G140" i="23"/>
  <c r="E141" i="23"/>
  <c r="E143" i="5"/>
  <c r="G142" i="5"/>
  <c r="D143" i="5"/>
  <c r="I134" i="38"/>
  <c r="H134" i="38"/>
  <c r="G142" i="4"/>
  <c r="E143" i="4"/>
  <c r="D143" i="4"/>
  <c r="D144" i="6"/>
  <c r="G143" i="6"/>
  <c r="E144" i="6"/>
  <c r="J141" i="5"/>
  <c r="I138" i="29"/>
  <c r="H138" i="29"/>
  <c r="B139" i="29"/>
  <c r="F139" i="29"/>
  <c r="F135" i="39"/>
  <c r="B135" i="39"/>
  <c r="F55" i="38"/>
  <c r="H55" i="38" s="1"/>
  <c r="B55" i="38"/>
  <c r="B61" i="23"/>
  <c r="F61" i="23"/>
  <c r="D139" i="31"/>
  <c r="G138" i="31"/>
  <c r="E139" i="31"/>
  <c r="B136" i="42"/>
  <c r="F136" i="42"/>
  <c r="F56" i="13"/>
  <c r="B56" i="13"/>
  <c r="B55" i="37"/>
  <c r="F55" i="37"/>
  <c r="B66" i="11"/>
  <c r="H135" i="42"/>
  <c r="I135" i="42"/>
  <c r="F54" i="42"/>
  <c r="B54" i="42"/>
  <c r="D60" i="29"/>
  <c r="E60" i="29" s="1"/>
  <c r="D135" i="43"/>
  <c r="G134" i="43"/>
  <c r="E135" i="43"/>
  <c r="D135" i="45"/>
  <c r="E135" i="45" s="1"/>
  <c r="G134" i="45"/>
  <c r="F58" i="28"/>
  <c r="H58" i="28" s="1"/>
  <c r="B58" i="28"/>
  <c r="D137" i="13"/>
  <c r="E137" i="13" s="1"/>
  <c r="G136" i="13"/>
  <c r="D136" i="44"/>
  <c r="G135" i="44"/>
  <c r="B64" i="4"/>
  <c r="B60" i="24"/>
  <c r="F60" i="24"/>
  <c r="H60" i="24" s="1"/>
  <c r="B62" i="22"/>
  <c r="F55" i="40"/>
  <c r="H55" i="40" s="1"/>
  <c r="B55" i="40"/>
  <c r="I65" i="10"/>
  <c r="B64" i="3"/>
  <c r="I57" i="31"/>
  <c r="E64" i="3"/>
  <c r="F64" i="3" s="1"/>
  <c r="G64" i="3" s="1"/>
  <c r="E64" i="4"/>
  <c r="F64" i="4" s="1"/>
  <c r="F55" i="41"/>
  <c r="H55" i="41" s="1"/>
  <c r="B55" i="41"/>
  <c r="B64" i="5"/>
  <c r="F64" i="5"/>
  <c r="E62" i="22"/>
  <c r="F62" i="22" s="1"/>
  <c r="H54" i="45"/>
  <c r="B54" i="45"/>
  <c r="F54" i="45"/>
  <c r="G54" i="45" s="1"/>
  <c r="B57" i="30"/>
  <c r="F57" i="30"/>
  <c r="G57" i="30" s="1"/>
  <c r="D135" i="41"/>
  <c r="G134" i="41"/>
  <c r="E135" i="41"/>
  <c r="B64" i="8"/>
  <c r="F64" i="8"/>
  <c r="G64" i="8" s="1"/>
  <c r="B55" i="43"/>
  <c r="F55" i="43"/>
  <c r="G55" i="43" s="1"/>
  <c r="B67" i="7"/>
  <c r="F67" i="7"/>
  <c r="H67" i="7" s="1"/>
  <c r="F56" i="39"/>
  <c r="H56" i="39" s="1"/>
  <c r="G56" i="39"/>
  <c r="B56" i="39"/>
  <c r="G59" i="29"/>
  <c r="I59" i="29" s="1"/>
  <c r="D58" i="31"/>
  <c r="E58" i="31" s="1"/>
  <c r="F62" i="25"/>
  <c r="G62" i="25" s="1"/>
  <c r="B62" i="25"/>
  <c r="E66" i="11"/>
  <c r="F66" i="11" s="1"/>
  <c r="H134" i="39"/>
  <c r="I134" i="39"/>
  <c r="F66" i="10"/>
  <c r="H66" i="10" s="1"/>
  <c r="B66" i="10"/>
  <c r="I56" i="39" l="1"/>
  <c r="H64" i="6"/>
  <c r="G58" i="28"/>
  <c r="H59" i="27"/>
  <c r="D60" i="27"/>
  <c r="G59" i="27"/>
  <c r="G67" i="7"/>
  <c r="I67" i="7" s="1"/>
  <c r="D67" i="9"/>
  <c r="G66" i="9"/>
  <c r="H62" i="25"/>
  <c r="E65" i="6"/>
  <c r="F65" i="6" s="1"/>
  <c r="B65" i="6"/>
  <c r="D55" i="44"/>
  <c r="E55" i="44"/>
  <c r="G64" i="6"/>
  <c r="I64" i="6" s="1"/>
  <c r="H66" i="9"/>
  <c r="H54" i="44"/>
  <c r="I54" i="44" s="1"/>
  <c r="F142" i="25"/>
  <c r="B142" i="25"/>
  <c r="B143" i="5"/>
  <c r="F143" i="5"/>
  <c r="H140" i="23"/>
  <c r="I140" i="23"/>
  <c r="B137" i="30"/>
  <c r="F137" i="30"/>
  <c r="H145" i="10"/>
  <c r="I145" i="10"/>
  <c r="J145" i="10" s="1"/>
  <c r="H141" i="25"/>
  <c r="I141" i="25"/>
  <c r="F142" i="22"/>
  <c r="B142" i="22"/>
  <c r="I138" i="27"/>
  <c r="J138" i="27" s="1"/>
  <c r="H138" i="27"/>
  <c r="F140" i="24"/>
  <c r="B140" i="24"/>
  <c r="D136" i="38"/>
  <c r="E136" i="38"/>
  <c r="G135" i="38"/>
  <c r="F145" i="9"/>
  <c r="B145" i="9"/>
  <c r="H143" i="6"/>
  <c r="I143" i="6"/>
  <c r="I142" i="4"/>
  <c r="H142" i="4"/>
  <c r="H142" i="5"/>
  <c r="I142" i="5"/>
  <c r="B141" i="23"/>
  <c r="F141" i="23"/>
  <c r="B146" i="10"/>
  <c r="F146" i="10"/>
  <c r="H143" i="8"/>
  <c r="I143" i="8"/>
  <c r="J143" i="8" s="1"/>
  <c r="F143" i="3"/>
  <c r="B143" i="3"/>
  <c r="E146" i="7"/>
  <c r="F146" i="7"/>
  <c r="B146" i="7"/>
  <c r="H134" i="37"/>
  <c r="I134" i="37"/>
  <c r="B135" i="40"/>
  <c r="F135" i="40"/>
  <c r="H137" i="28"/>
  <c r="I137" i="28"/>
  <c r="J137" i="28" s="1"/>
  <c r="F145" i="11"/>
  <c r="B145" i="11"/>
  <c r="F143" i="4"/>
  <c r="B143" i="4"/>
  <c r="B144" i="8"/>
  <c r="F144" i="8"/>
  <c r="B139" i="27"/>
  <c r="F139" i="27"/>
  <c r="H139" i="24"/>
  <c r="I139" i="24"/>
  <c r="F144" i="6"/>
  <c r="B144" i="6"/>
  <c r="I136" i="30"/>
  <c r="J136" i="30" s="1"/>
  <c r="H136" i="30"/>
  <c r="H144" i="9"/>
  <c r="I144" i="9"/>
  <c r="H142" i="3"/>
  <c r="I142" i="3"/>
  <c r="H141" i="22"/>
  <c r="I141" i="22"/>
  <c r="I145" i="7"/>
  <c r="J145" i="7" s="1"/>
  <c r="H145" i="7"/>
  <c r="B135" i="37"/>
  <c r="F135" i="37"/>
  <c r="H134" i="40"/>
  <c r="I134" i="40"/>
  <c r="B138" i="28"/>
  <c r="F138" i="28"/>
  <c r="H144" i="11"/>
  <c r="I144" i="11"/>
  <c r="J138" i="29"/>
  <c r="D140" i="29"/>
  <c r="E140" i="29"/>
  <c r="G139" i="29"/>
  <c r="D65" i="4"/>
  <c r="G64" i="4"/>
  <c r="H64" i="4"/>
  <c r="I64" i="4" s="1"/>
  <c r="D63" i="22"/>
  <c r="E63" i="22" s="1"/>
  <c r="H62" i="22"/>
  <c r="G62" i="22"/>
  <c r="D67" i="11"/>
  <c r="E67" i="11" s="1"/>
  <c r="G66" i="11"/>
  <c r="H66" i="11"/>
  <c r="I134" i="41"/>
  <c r="H134" i="41"/>
  <c r="D57" i="13"/>
  <c r="E57" i="13" s="1"/>
  <c r="H64" i="8"/>
  <c r="I64" i="8" s="1"/>
  <c r="I134" i="45"/>
  <c r="H134" i="45"/>
  <c r="D55" i="42"/>
  <c r="E55" i="42"/>
  <c r="H56" i="13"/>
  <c r="D56" i="38"/>
  <c r="E56" i="38"/>
  <c r="D65" i="3"/>
  <c r="E65" i="3" s="1"/>
  <c r="D56" i="40"/>
  <c r="E56" i="40"/>
  <c r="F135" i="45"/>
  <c r="B135" i="45"/>
  <c r="G56" i="13"/>
  <c r="H138" i="31"/>
  <c r="I138" i="31"/>
  <c r="G55" i="38"/>
  <c r="I54" i="45"/>
  <c r="D57" i="39"/>
  <c r="E57" i="39" s="1"/>
  <c r="D58" i="30"/>
  <c r="E58" i="30" s="1"/>
  <c r="D65" i="5"/>
  <c r="G55" i="40"/>
  <c r="I55" i="40" s="1"/>
  <c r="D61" i="24"/>
  <c r="E61" i="24" s="1"/>
  <c r="I135" i="44"/>
  <c r="H135" i="44"/>
  <c r="I58" i="28"/>
  <c r="B60" i="29"/>
  <c r="F60" i="29"/>
  <c r="D56" i="37"/>
  <c r="E56" i="37"/>
  <c r="B139" i="31"/>
  <c r="F139" i="31"/>
  <c r="D63" i="25"/>
  <c r="E63" i="25" s="1"/>
  <c r="D56" i="41"/>
  <c r="E56" i="41"/>
  <c r="G66" i="10"/>
  <c r="I66" i="10" s="1"/>
  <c r="E56" i="43"/>
  <c r="D56" i="43"/>
  <c r="G64" i="5"/>
  <c r="H64" i="3"/>
  <c r="I64" i="3" s="1"/>
  <c r="B136" i="44"/>
  <c r="D59" i="28"/>
  <c r="E59" i="28" s="1"/>
  <c r="H55" i="37"/>
  <c r="D62" i="23"/>
  <c r="E62" i="23" s="1"/>
  <c r="D65" i="8"/>
  <c r="E65" i="8" s="1"/>
  <c r="B135" i="41"/>
  <c r="F135" i="41"/>
  <c r="H57" i="30"/>
  <c r="I57" i="30" s="1"/>
  <c r="H64" i="5"/>
  <c r="G60" i="24"/>
  <c r="I60" i="24" s="1"/>
  <c r="E136" i="44"/>
  <c r="F136" i="44" s="1"/>
  <c r="H134" i="43"/>
  <c r="I134" i="43"/>
  <c r="D137" i="42"/>
  <c r="G136" i="42"/>
  <c r="H61" i="23"/>
  <c r="G135" i="39"/>
  <c r="E136" i="39"/>
  <c r="D136" i="39"/>
  <c r="F58" i="31"/>
  <c r="G58" i="31" s="1"/>
  <c r="H58" i="31"/>
  <c r="B58" i="31"/>
  <c r="D68" i="7"/>
  <c r="E68" i="7" s="1"/>
  <c r="H55" i="43"/>
  <c r="I55" i="43" s="1"/>
  <c r="H136" i="13"/>
  <c r="I136" i="13"/>
  <c r="F135" i="43"/>
  <c r="B135" i="43"/>
  <c r="G54" i="42"/>
  <c r="G55" i="37"/>
  <c r="I62" i="25"/>
  <c r="I55" i="38"/>
  <c r="D67" i="10"/>
  <c r="E67" i="10" s="1"/>
  <c r="D55" i="45"/>
  <c r="E55" i="45"/>
  <c r="G55" i="41"/>
  <c r="I55" i="41" s="1"/>
  <c r="F137" i="13"/>
  <c r="B137" i="13"/>
  <c r="H54" i="42"/>
  <c r="G61" i="23"/>
  <c r="I66" i="9" l="1"/>
  <c r="I54" i="42"/>
  <c r="G65" i="6"/>
  <c r="D66" i="6"/>
  <c r="H65" i="6"/>
  <c r="E67" i="9"/>
  <c r="F67" i="9" s="1"/>
  <c r="H67" i="9" s="1"/>
  <c r="B67" i="9"/>
  <c r="B60" i="27"/>
  <c r="B55" i="44"/>
  <c r="F55" i="44"/>
  <c r="H55" i="44"/>
  <c r="E60" i="27"/>
  <c r="F60" i="27" s="1"/>
  <c r="I59" i="27"/>
  <c r="J142" i="3"/>
  <c r="D145" i="8"/>
  <c r="G144" i="8"/>
  <c r="E145" i="8"/>
  <c r="E136" i="40"/>
  <c r="D136" i="40"/>
  <c r="G135" i="40"/>
  <c r="D144" i="3"/>
  <c r="E144" i="3"/>
  <c r="G143" i="3"/>
  <c r="E138" i="30"/>
  <c r="D138" i="30"/>
  <c r="G137" i="30"/>
  <c r="D144" i="5"/>
  <c r="E144" i="5"/>
  <c r="G143" i="5"/>
  <c r="G145" i="11"/>
  <c r="E146" i="11"/>
  <c r="D146" i="11"/>
  <c r="D147" i="7"/>
  <c r="G146" i="7"/>
  <c r="G141" i="23"/>
  <c r="D142" i="23"/>
  <c r="E142" i="23"/>
  <c r="F136" i="38"/>
  <c r="B136" i="38"/>
  <c r="G138" i="28"/>
  <c r="D139" i="28"/>
  <c r="E139" i="28"/>
  <c r="G135" i="37"/>
  <c r="D136" i="37"/>
  <c r="E136" i="37"/>
  <c r="G139" i="27"/>
  <c r="D140" i="27"/>
  <c r="E140" i="27"/>
  <c r="J142" i="4"/>
  <c r="G145" i="9"/>
  <c r="D146" i="9"/>
  <c r="G144" i="6"/>
  <c r="D145" i="6"/>
  <c r="E145" i="6"/>
  <c r="E144" i="4"/>
  <c r="D144" i="4"/>
  <c r="G143" i="4"/>
  <c r="D147" i="10"/>
  <c r="G146" i="10"/>
  <c r="J142" i="5"/>
  <c r="J143" i="6"/>
  <c r="I135" i="38"/>
  <c r="H135" i="38"/>
  <c r="E141" i="24"/>
  <c r="G140" i="24"/>
  <c r="D141" i="24"/>
  <c r="D143" i="22"/>
  <c r="E143" i="22"/>
  <c r="G142" i="22"/>
  <c r="G142" i="25"/>
  <c r="D143" i="25"/>
  <c r="E143" i="25"/>
  <c r="F140" i="29"/>
  <c r="B140" i="29"/>
  <c r="I139" i="29"/>
  <c r="H139" i="29"/>
  <c r="G135" i="41"/>
  <c r="D136" i="41"/>
  <c r="E136" i="41"/>
  <c r="B55" i="42"/>
  <c r="F55" i="42"/>
  <c r="I62" i="22"/>
  <c r="I58" i="31"/>
  <c r="G139" i="31"/>
  <c r="D140" i="31"/>
  <c r="E140" i="31"/>
  <c r="D59" i="31"/>
  <c r="E59" i="31" s="1"/>
  <c r="F136" i="39"/>
  <c r="B136" i="39"/>
  <c r="B65" i="4"/>
  <c r="F55" i="45"/>
  <c r="G55" i="45" s="1"/>
  <c r="B55" i="45"/>
  <c r="B59" i="28"/>
  <c r="F59" i="28"/>
  <c r="G59" i="28" s="1"/>
  <c r="F56" i="37"/>
  <c r="G56" i="37" s="1"/>
  <c r="B56" i="37"/>
  <c r="D136" i="45"/>
  <c r="G135" i="45"/>
  <c r="I66" i="11"/>
  <c r="F63" i="22"/>
  <c r="H63" i="22" s="1"/>
  <c r="B63" i="22"/>
  <c r="E65" i="4"/>
  <c r="F65" i="4" s="1"/>
  <c r="B65" i="8"/>
  <c r="F65" i="8"/>
  <c r="H65" i="8" s="1"/>
  <c r="G136" i="44"/>
  <c r="D137" i="44"/>
  <c r="B56" i="41"/>
  <c r="F56" i="41"/>
  <c r="H56" i="41" s="1"/>
  <c r="D61" i="29"/>
  <c r="B65" i="5"/>
  <c r="F57" i="39"/>
  <c r="H57" i="39" s="1"/>
  <c r="G57" i="39"/>
  <c r="B57" i="39"/>
  <c r="F56" i="38"/>
  <c r="G56" i="38" s="1"/>
  <c r="B56" i="38"/>
  <c r="B137" i="42"/>
  <c r="H135" i="39"/>
  <c r="I135" i="39"/>
  <c r="G137" i="13"/>
  <c r="D138" i="13"/>
  <c r="E138" i="13" s="1"/>
  <c r="B67" i="10"/>
  <c r="F67" i="10"/>
  <c r="G67" i="10" s="1"/>
  <c r="F68" i="7"/>
  <c r="G68" i="7" s="1"/>
  <c r="B68" i="7"/>
  <c r="H68" i="7"/>
  <c r="I61" i="23"/>
  <c r="G60" i="29"/>
  <c r="E65" i="5"/>
  <c r="F65" i="5" s="1"/>
  <c r="J138" i="31"/>
  <c r="I56" i="13"/>
  <c r="B57" i="13"/>
  <c r="F57" i="13"/>
  <c r="G57" i="13"/>
  <c r="B56" i="43"/>
  <c r="F56" i="43"/>
  <c r="G56" i="43" s="1"/>
  <c r="H136" i="42"/>
  <c r="I136" i="42"/>
  <c r="F62" i="23"/>
  <c r="H62" i="23" s="1"/>
  <c r="B62" i="23"/>
  <c r="F63" i="25"/>
  <c r="H63" i="25" s="1"/>
  <c r="B63" i="25"/>
  <c r="H60" i="29"/>
  <c r="F56" i="40"/>
  <c r="B56" i="40"/>
  <c r="B67" i="11"/>
  <c r="F67" i="11"/>
  <c r="H67" i="11"/>
  <c r="G67" i="11"/>
  <c r="G135" i="43"/>
  <c r="D136" i="43"/>
  <c r="E136" i="43"/>
  <c r="E137" i="42"/>
  <c r="F137" i="42" s="1"/>
  <c r="I55" i="37"/>
  <c r="F61" i="24"/>
  <c r="G61" i="24" s="1"/>
  <c r="H61" i="24"/>
  <c r="B61" i="24"/>
  <c r="F58" i="30"/>
  <c r="G58" i="30" s="1"/>
  <c r="B58" i="30"/>
  <c r="B65" i="3"/>
  <c r="F65" i="3"/>
  <c r="G65" i="3" s="1"/>
  <c r="H59" i="28" l="1"/>
  <c r="H65" i="3"/>
  <c r="I65" i="3" s="1"/>
  <c r="G56" i="41"/>
  <c r="H56" i="38"/>
  <c r="I57" i="39"/>
  <c r="G63" i="22"/>
  <c r="I63" i="22" s="1"/>
  <c r="H55" i="45"/>
  <c r="I65" i="6"/>
  <c r="D61" i="27"/>
  <c r="H60" i="27"/>
  <c r="G60" i="27"/>
  <c r="G55" i="44"/>
  <c r="I55" i="44" s="1"/>
  <c r="E56" i="44"/>
  <c r="D56" i="44"/>
  <c r="H56" i="37"/>
  <c r="I56" i="37" s="1"/>
  <c r="E66" i="6"/>
  <c r="F66" i="6" s="1"/>
  <c r="B66" i="6"/>
  <c r="D68" i="9"/>
  <c r="G67" i="9"/>
  <c r="I67" i="9" s="1"/>
  <c r="I67" i="11"/>
  <c r="I59" i="28"/>
  <c r="B144" i="4"/>
  <c r="F144" i="4"/>
  <c r="I144" i="6"/>
  <c r="H144" i="6"/>
  <c r="B136" i="37"/>
  <c r="F136" i="37"/>
  <c r="H138" i="28"/>
  <c r="I138" i="28"/>
  <c r="J138" i="28" s="1"/>
  <c r="F142" i="23"/>
  <c r="B142" i="23"/>
  <c r="B147" i="7"/>
  <c r="H143" i="5"/>
  <c r="I143" i="5"/>
  <c r="J143" i="5" s="1"/>
  <c r="F138" i="30"/>
  <c r="B138" i="30"/>
  <c r="F144" i="3"/>
  <c r="B144" i="3"/>
  <c r="F143" i="25"/>
  <c r="B143" i="25"/>
  <c r="B143" i="22"/>
  <c r="F143" i="22"/>
  <c r="H146" i="10"/>
  <c r="I146" i="10"/>
  <c r="J146" i="10" s="1"/>
  <c r="E146" i="9"/>
  <c r="F146" i="9" s="1"/>
  <c r="B146" i="9"/>
  <c r="B140" i="27"/>
  <c r="F140" i="27"/>
  <c r="I135" i="37"/>
  <c r="H135" i="37"/>
  <c r="I141" i="23"/>
  <c r="H141" i="23"/>
  <c r="F146" i="11"/>
  <c r="B146" i="11"/>
  <c r="H135" i="40"/>
  <c r="I135" i="40"/>
  <c r="H144" i="8"/>
  <c r="I144" i="8"/>
  <c r="J144" i="8" s="1"/>
  <c r="H142" i="25"/>
  <c r="I142" i="25"/>
  <c r="F141" i="24"/>
  <c r="B141" i="24"/>
  <c r="E147" i="10"/>
  <c r="F147" i="10" s="1"/>
  <c r="B147" i="10"/>
  <c r="H145" i="9"/>
  <c r="I145" i="9"/>
  <c r="H139" i="27"/>
  <c r="I139" i="27"/>
  <c r="G136" i="38"/>
  <c r="E137" i="38"/>
  <c r="D137" i="38"/>
  <c r="H146" i="7"/>
  <c r="I146" i="7"/>
  <c r="J146" i="7" s="1"/>
  <c r="F144" i="5"/>
  <c r="B144" i="5"/>
  <c r="H143" i="3"/>
  <c r="I143" i="3"/>
  <c r="J143" i="3" s="1"/>
  <c r="B136" i="40"/>
  <c r="F136" i="40"/>
  <c r="F145" i="8"/>
  <c r="B145" i="8"/>
  <c r="I142" i="22"/>
  <c r="H142" i="22"/>
  <c r="I140" i="24"/>
  <c r="H140" i="24"/>
  <c r="H143" i="4"/>
  <c r="I143" i="4"/>
  <c r="F145" i="6"/>
  <c r="B145" i="6"/>
  <c r="F139" i="28"/>
  <c r="B139" i="28"/>
  <c r="E147" i="7"/>
  <c r="F147" i="7" s="1"/>
  <c r="H145" i="11"/>
  <c r="I145" i="11"/>
  <c r="H137" i="30"/>
  <c r="I137" i="30"/>
  <c r="J139" i="29"/>
  <c r="G140" i="29"/>
  <c r="E141" i="29"/>
  <c r="D141" i="29"/>
  <c r="D66" i="4"/>
  <c r="E66" i="4" s="1"/>
  <c r="G65" i="4"/>
  <c r="H65" i="4"/>
  <c r="D66" i="5"/>
  <c r="E66" i="5" s="1"/>
  <c r="H65" i="5"/>
  <c r="G65" i="5"/>
  <c r="G137" i="42"/>
  <c r="D138" i="42"/>
  <c r="D57" i="40"/>
  <c r="E57" i="40" s="1"/>
  <c r="B136" i="45"/>
  <c r="D58" i="13"/>
  <c r="I68" i="7"/>
  <c r="F138" i="13"/>
  <c r="B138" i="13"/>
  <c r="G65" i="8"/>
  <c r="I65" i="8" s="1"/>
  <c r="I55" i="45"/>
  <c r="B59" i="31"/>
  <c r="F59" i="31"/>
  <c r="G59" i="31" s="1"/>
  <c r="H139" i="31"/>
  <c r="I139" i="31"/>
  <c r="F140" i="31"/>
  <c r="B140" i="31"/>
  <c r="D63" i="23"/>
  <c r="E63" i="23" s="1"/>
  <c r="H137" i="13"/>
  <c r="I137" i="13"/>
  <c r="D58" i="39"/>
  <c r="E58" i="39" s="1"/>
  <c r="I56" i="41"/>
  <c r="E56" i="45"/>
  <c r="D56" i="45"/>
  <c r="D56" i="42"/>
  <c r="E56" i="42"/>
  <c r="F136" i="41"/>
  <c r="B136" i="41"/>
  <c r="D66" i="3"/>
  <c r="I60" i="29"/>
  <c r="G62" i="23"/>
  <c r="I62" i="23" s="1"/>
  <c r="D57" i="43"/>
  <c r="D69" i="7"/>
  <c r="E69" i="7" s="1"/>
  <c r="D57" i="41"/>
  <c r="E57" i="41" s="1"/>
  <c r="D64" i="22"/>
  <c r="E64" i="22" s="1"/>
  <c r="H55" i="42"/>
  <c r="H135" i="41"/>
  <c r="I135" i="41"/>
  <c r="D59" i="30"/>
  <c r="I61" i="24"/>
  <c r="F136" i="43"/>
  <c r="B136" i="43"/>
  <c r="D68" i="11"/>
  <c r="G56" i="40"/>
  <c r="G63" i="25"/>
  <c r="I63" i="25" s="1"/>
  <c r="H56" i="43"/>
  <c r="I56" i="43" s="1"/>
  <c r="I56" i="38"/>
  <c r="B137" i="44"/>
  <c r="D57" i="37"/>
  <c r="E57" i="37" s="1"/>
  <c r="G55" i="42"/>
  <c r="B61" i="29"/>
  <c r="H58" i="30"/>
  <c r="I58" i="30" s="1"/>
  <c r="D68" i="10"/>
  <c r="D62" i="24"/>
  <c r="E62" i="24"/>
  <c r="I135" i="43"/>
  <c r="H135" i="43"/>
  <c r="H67" i="10"/>
  <c r="I67" i="10" s="1"/>
  <c r="D57" i="38"/>
  <c r="E57" i="38"/>
  <c r="E137" i="44"/>
  <c r="F137" i="44" s="1"/>
  <c r="E136" i="45"/>
  <c r="F136" i="45" s="1"/>
  <c r="D60" i="28"/>
  <c r="E60" i="28" s="1"/>
  <c r="D66" i="8"/>
  <c r="E66" i="8" s="1"/>
  <c r="H56" i="40"/>
  <c r="D64" i="25"/>
  <c r="H57" i="13"/>
  <c r="I57" i="13" s="1"/>
  <c r="E61" i="29"/>
  <c r="F61" i="29" s="1"/>
  <c r="G61" i="29" s="1"/>
  <c r="H136" i="44"/>
  <c r="I136" i="44"/>
  <c r="I135" i="45"/>
  <c r="H135" i="45"/>
  <c r="G136" i="39"/>
  <c r="E137" i="39"/>
  <c r="D137" i="39"/>
  <c r="I65" i="4" l="1"/>
  <c r="F56" i="44"/>
  <c r="B56" i="44"/>
  <c r="H56" i="44"/>
  <c r="I55" i="42"/>
  <c r="E61" i="27"/>
  <c r="F61" i="27"/>
  <c r="H61" i="27" s="1"/>
  <c r="B61" i="27"/>
  <c r="H66" i="6"/>
  <c r="G66" i="6"/>
  <c r="D67" i="6"/>
  <c r="I60" i="27"/>
  <c r="I56" i="40"/>
  <c r="E68" i="9"/>
  <c r="F68" i="9"/>
  <c r="B68" i="9"/>
  <c r="G146" i="9"/>
  <c r="D147" i="9"/>
  <c r="D148" i="7"/>
  <c r="G147" i="7"/>
  <c r="D148" i="10"/>
  <c r="G147" i="10"/>
  <c r="D140" i="28"/>
  <c r="E140" i="28"/>
  <c r="G139" i="28"/>
  <c r="E145" i="5"/>
  <c r="G144" i="5"/>
  <c r="D145" i="5"/>
  <c r="I136" i="38"/>
  <c r="H136" i="38"/>
  <c r="D144" i="25"/>
  <c r="G143" i="25"/>
  <c r="E144" i="25"/>
  <c r="G138" i="30"/>
  <c r="E139" i="30"/>
  <c r="D139" i="30"/>
  <c r="J144" i="6"/>
  <c r="J137" i="30"/>
  <c r="G145" i="6"/>
  <c r="D146" i="6"/>
  <c r="E146" i="6" s="1"/>
  <c r="D146" i="8"/>
  <c r="E146" i="8"/>
  <c r="G145" i="8"/>
  <c r="J139" i="27"/>
  <c r="D142" i="24"/>
  <c r="G141" i="24"/>
  <c r="E142" i="24"/>
  <c r="G146" i="11"/>
  <c r="D147" i="11"/>
  <c r="G143" i="22"/>
  <c r="E144" i="22"/>
  <c r="D144" i="22"/>
  <c r="G136" i="37"/>
  <c r="E137" i="37"/>
  <c r="D137" i="37"/>
  <c r="E145" i="4"/>
  <c r="G144" i="4"/>
  <c r="D145" i="4"/>
  <c r="J143" i="4"/>
  <c r="D137" i="40"/>
  <c r="G136" i="40"/>
  <c r="E137" i="40"/>
  <c r="B137" i="38"/>
  <c r="F137" i="38"/>
  <c r="G140" i="27"/>
  <c r="D141" i="27"/>
  <c r="E141" i="27"/>
  <c r="E145" i="3"/>
  <c r="G144" i="3"/>
  <c r="D145" i="3"/>
  <c r="D143" i="23"/>
  <c r="G142" i="23"/>
  <c r="E143" i="23"/>
  <c r="B141" i="29"/>
  <c r="F141" i="29"/>
  <c r="H140" i="29"/>
  <c r="I140" i="29"/>
  <c r="D138" i="44"/>
  <c r="E138" i="44" s="1"/>
  <c r="G137" i="44"/>
  <c r="B57" i="43"/>
  <c r="G140" i="31"/>
  <c r="D141" i="31"/>
  <c r="E141" i="31"/>
  <c r="B58" i="13"/>
  <c r="D137" i="45"/>
  <c r="E137" i="45" s="1"/>
  <c r="G136" i="45"/>
  <c r="F66" i="8"/>
  <c r="B66" i="8"/>
  <c r="B64" i="22"/>
  <c r="F64" i="22"/>
  <c r="G64" i="22" s="1"/>
  <c r="D137" i="41"/>
  <c r="G136" i="41"/>
  <c r="E137" i="41"/>
  <c r="J139" i="31"/>
  <c r="E58" i="13"/>
  <c r="F58" i="13" s="1"/>
  <c r="B57" i="40"/>
  <c r="F57" i="40"/>
  <c r="B68" i="11"/>
  <c r="G136" i="43"/>
  <c r="D137" i="43"/>
  <c r="E137" i="43"/>
  <c r="F66" i="5"/>
  <c r="H66" i="5" s="1"/>
  <c r="B66" i="5"/>
  <c r="B62" i="24"/>
  <c r="F62" i="24"/>
  <c r="G62" i="24" s="1"/>
  <c r="F57" i="41"/>
  <c r="H57" i="41" s="1"/>
  <c r="B57" i="41"/>
  <c r="G57" i="41"/>
  <c r="B56" i="42"/>
  <c r="F56" i="42"/>
  <c r="G56" i="42" s="1"/>
  <c r="B63" i="23"/>
  <c r="F63" i="23"/>
  <c r="H63" i="23" s="1"/>
  <c r="H59" i="31"/>
  <c r="I59" i="31" s="1"/>
  <c r="B138" i="42"/>
  <c r="F57" i="38"/>
  <c r="G57" i="38" s="1"/>
  <c r="B57" i="38"/>
  <c r="D62" i="29"/>
  <c r="B59" i="30"/>
  <c r="F69" i="7"/>
  <c r="G69" i="7" s="1"/>
  <c r="B69" i="7"/>
  <c r="B66" i="3"/>
  <c r="D60" i="31"/>
  <c r="E60" i="31" s="1"/>
  <c r="E138" i="42"/>
  <c r="F138" i="42" s="1"/>
  <c r="F137" i="39"/>
  <c r="B137" i="39"/>
  <c r="B68" i="10"/>
  <c r="H61" i="29"/>
  <c r="I61" i="29" s="1"/>
  <c r="I136" i="39"/>
  <c r="H136" i="39"/>
  <c r="F60" i="28"/>
  <c r="H60" i="28" s="1"/>
  <c r="B60" i="28"/>
  <c r="E68" i="10"/>
  <c r="F68" i="10" s="1"/>
  <c r="E59" i="30"/>
  <c r="F59" i="30" s="1"/>
  <c r="E66" i="3"/>
  <c r="F66" i="3" s="1"/>
  <c r="D139" i="13"/>
  <c r="E139" i="13" s="1"/>
  <c r="G138" i="13"/>
  <c r="I137" i="42"/>
  <c r="H137" i="42"/>
  <c r="B64" i="25"/>
  <c r="B57" i="37"/>
  <c r="F57" i="37"/>
  <c r="G57" i="37" s="1"/>
  <c r="E64" i="25"/>
  <c r="F64" i="25" s="1"/>
  <c r="E68" i="11"/>
  <c r="F68" i="11" s="1"/>
  <c r="E57" i="43"/>
  <c r="F57" i="43" s="1"/>
  <c r="F56" i="45"/>
  <c r="G56" i="45" s="1"/>
  <c r="B56" i="45"/>
  <c r="F58" i="39"/>
  <c r="H58" i="39" s="1"/>
  <c r="B58" i="39"/>
  <c r="B66" i="4"/>
  <c r="F66" i="4"/>
  <c r="G66" i="4" s="1"/>
  <c r="H69" i="7" l="1"/>
  <c r="H62" i="24"/>
  <c r="H57" i="37"/>
  <c r="G66" i="5"/>
  <c r="E67" i="6"/>
  <c r="F67" i="6" s="1"/>
  <c r="B67" i="6"/>
  <c r="I57" i="41"/>
  <c r="G61" i="27"/>
  <c r="I61" i="27" s="1"/>
  <c r="D62" i="27"/>
  <c r="E62" i="27" s="1"/>
  <c r="H56" i="42"/>
  <c r="I56" i="42" s="1"/>
  <c r="G68" i="9"/>
  <c r="H68" i="9"/>
  <c r="D69" i="9"/>
  <c r="E69" i="9" s="1"/>
  <c r="H66" i="4"/>
  <c r="I66" i="4" s="1"/>
  <c r="G58" i="39"/>
  <c r="I58" i="39" s="1"/>
  <c r="G60" i="28"/>
  <c r="I60" i="28" s="1"/>
  <c r="I66" i="6"/>
  <c r="G56" i="44"/>
  <c r="I56" i="44" s="1"/>
  <c r="D57" i="44"/>
  <c r="E57" i="44" s="1"/>
  <c r="B145" i="3"/>
  <c r="F145" i="3"/>
  <c r="B141" i="27"/>
  <c r="F141" i="27"/>
  <c r="F145" i="4"/>
  <c r="B145" i="4"/>
  <c r="H143" i="22"/>
  <c r="I143" i="22"/>
  <c r="H141" i="24"/>
  <c r="I141" i="24"/>
  <c r="I145" i="6"/>
  <c r="J145" i="6" s="1"/>
  <c r="H145" i="6"/>
  <c r="F144" i="25"/>
  <c r="B144" i="25"/>
  <c r="I144" i="5"/>
  <c r="J144" i="5" s="1"/>
  <c r="H144" i="5"/>
  <c r="B140" i="28"/>
  <c r="F140" i="28"/>
  <c r="B148" i="7"/>
  <c r="I144" i="3"/>
  <c r="J144" i="3" s="1"/>
  <c r="H144" i="3"/>
  <c r="H140" i="27"/>
  <c r="I140" i="27"/>
  <c r="H136" i="40"/>
  <c r="I136" i="40"/>
  <c r="H144" i="4"/>
  <c r="I144" i="4"/>
  <c r="H136" i="37"/>
  <c r="I136" i="37"/>
  <c r="E147" i="11"/>
  <c r="B147" i="11"/>
  <c r="F147" i="11"/>
  <c r="B142" i="24"/>
  <c r="F142" i="24"/>
  <c r="F146" i="8"/>
  <c r="B146" i="8"/>
  <c r="H138" i="30"/>
  <c r="I138" i="30"/>
  <c r="J138" i="30" s="1"/>
  <c r="H147" i="10"/>
  <c r="I147" i="10"/>
  <c r="J147" i="10" s="1"/>
  <c r="E148" i="7"/>
  <c r="F148" i="7" s="1"/>
  <c r="H142" i="23"/>
  <c r="I142" i="23"/>
  <c r="E138" i="38"/>
  <c r="D138" i="38"/>
  <c r="G137" i="38"/>
  <c r="B137" i="40"/>
  <c r="F137" i="40"/>
  <c r="F144" i="22"/>
  <c r="B144" i="22"/>
  <c r="H146" i="11"/>
  <c r="I146" i="11"/>
  <c r="I139" i="28"/>
  <c r="H139" i="28"/>
  <c r="E148" i="10"/>
  <c r="B148" i="10"/>
  <c r="F148" i="10"/>
  <c r="E147" i="9"/>
  <c r="F147" i="9" s="1"/>
  <c r="B147" i="9"/>
  <c r="J140" i="29"/>
  <c r="B143" i="23"/>
  <c r="F143" i="23"/>
  <c r="B137" i="37"/>
  <c r="F137" i="37"/>
  <c r="H145" i="8"/>
  <c r="I145" i="8"/>
  <c r="F146" i="6"/>
  <c r="B146" i="6"/>
  <c r="F139" i="30"/>
  <c r="B139" i="30"/>
  <c r="I143" i="25"/>
  <c r="H143" i="25"/>
  <c r="B145" i="5"/>
  <c r="F145" i="5"/>
  <c r="H147" i="7"/>
  <c r="I147" i="7"/>
  <c r="J147" i="7" s="1"/>
  <c r="I146" i="9"/>
  <c r="H146" i="9"/>
  <c r="G141" i="29"/>
  <c r="E142" i="29"/>
  <c r="D142" i="29"/>
  <c r="D60" i="30"/>
  <c r="E60" i="30" s="1"/>
  <c r="H59" i="30"/>
  <c r="G59" i="30"/>
  <c r="D139" i="42"/>
  <c r="E139" i="42" s="1"/>
  <c r="G138" i="42"/>
  <c r="D69" i="10"/>
  <c r="E69" i="10" s="1"/>
  <c r="G68" i="10"/>
  <c r="H68" i="10"/>
  <c r="D59" i="13"/>
  <c r="E59" i="13" s="1"/>
  <c r="H58" i="13"/>
  <c r="G58" i="13"/>
  <c r="D67" i="3"/>
  <c r="E67" i="3" s="1"/>
  <c r="H66" i="3"/>
  <c r="G66" i="3"/>
  <c r="D58" i="43"/>
  <c r="E58" i="43" s="1"/>
  <c r="G57" i="43"/>
  <c r="H57" i="43"/>
  <c r="D69" i="11"/>
  <c r="E69" i="11"/>
  <c r="G68" i="11"/>
  <c r="H68" i="11"/>
  <c r="B62" i="29"/>
  <c r="D67" i="8"/>
  <c r="E67" i="8" s="1"/>
  <c r="D138" i="39"/>
  <c r="E138" i="39"/>
  <c r="G137" i="39"/>
  <c r="H136" i="41"/>
  <c r="I136" i="41"/>
  <c r="I57" i="37"/>
  <c r="B137" i="43"/>
  <c r="F137" i="43"/>
  <c r="H136" i="45"/>
  <c r="I136" i="45"/>
  <c r="B137" i="45"/>
  <c r="F137" i="45"/>
  <c r="F139" i="13"/>
  <c r="B139" i="13"/>
  <c r="G63" i="23"/>
  <c r="I63" i="23" s="1"/>
  <c r="F141" i="31"/>
  <c r="B141" i="31"/>
  <c r="I69" i="7"/>
  <c r="D58" i="38"/>
  <c r="E58" i="38" s="1"/>
  <c r="D58" i="40"/>
  <c r="E58" i="40" s="1"/>
  <c r="D59" i="39"/>
  <c r="D65" i="25"/>
  <c r="D70" i="7"/>
  <c r="E70" i="7" s="1"/>
  <c r="D58" i="41"/>
  <c r="E58" i="41" s="1"/>
  <c r="H56" i="45"/>
  <c r="I56" i="45" s="1"/>
  <c r="H64" i="25"/>
  <c r="D67" i="4"/>
  <c r="E67" i="4" s="1"/>
  <c r="H57" i="40"/>
  <c r="D65" i="22"/>
  <c r="E65" i="22" s="1"/>
  <c r="G66" i="8"/>
  <c r="I140" i="31"/>
  <c r="H140" i="31"/>
  <c r="H137" i="44"/>
  <c r="I137" i="44"/>
  <c r="H138" i="13"/>
  <c r="I138" i="13"/>
  <c r="D64" i="23"/>
  <c r="E64" i="23" s="1"/>
  <c r="G57" i="40"/>
  <c r="G64" i="25"/>
  <c r="F60" i="31"/>
  <c r="H60" i="31" s="1"/>
  <c r="B60" i="31"/>
  <c r="D63" i="24"/>
  <c r="E63" i="24" s="1"/>
  <c r="H64" i="22"/>
  <c r="I64" i="22" s="1"/>
  <c r="H66" i="8"/>
  <c r="D61" i="28"/>
  <c r="E61" i="28" s="1"/>
  <c r="B137" i="41"/>
  <c r="F137" i="41"/>
  <c r="H57" i="38"/>
  <c r="I57" i="38" s="1"/>
  <c r="I136" i="43"/>
  <c r="H136" i="43"/>
  <c r="D57" i="45"/>
  <c r="E57" i="45" s="1"/>
  <c r="D58" i="37"/>
  <c r="E58" i="37" s="1"/>
  <c r="E62" i="29"/>
  <c r="F62" i="29" s="1"/>
  <c r="D57" i="42"/>
  <c r="E57" i="42" s="1"/>
  <c r="I62" i="24"/>
  <c r="D67" i="5"/>
  <c r="E67" i="5" s="1"/>
  <c r="F138" i="44"/>
  <c r="B138" i="44"/>
  <c r="I68" i="9" l="1"/>
  <c r="I66" i="3"/>
  <c r="I68" i="10"/>
  <c r="G67" i="6"/>
  <c r="D68" i="6"/>
  <c r="E68" i="6" s="1"/>
  <c r="H67" i="6"/>
  <c r="I66" i="8"/>
  <c r="I57" i="40"/>
  <c r="B57" i="44"/>
  <c r="F57" i="44"/>
  <c r="G57" i="44" s="1"/>
  <c r="H69" i="9"/>
  <c r="B69" i="9"/>
  <c r="F69" i="9"/>
  <c r="G69" i="9" s="1"/>
  <c r="I57" i="43"/>
  <c r="F62" i="27"/>
  <c r="B62" i="27"/>
  <c r="D148" i="9"/>
  <c r="G147" i="9"/>
  <c r="G148" i="7"/>
  <c r="D149" i="7"/>
  <c r="B149" i="7" s="1"/>
  <c r="G145" i="5"/>
  <c r="D146" i="5"/>
  <c r="J145" i="8"/>
  <c r="E144" i="23"/>
  <c r="G143" i="23"/>
  <c r="D144" i="23"/>
  <c r="D147" i="8"/>
  <c r="G146" i="8"/>
  <c r="J144" i="4"/>
  <c r="J140" i="27"/>
  <c r="D142" i="27"/>
  <c r="E142" i="27"/>
  <c r="G141" i="27"/>
  <c r="E140" i="30"/>
  <c r="D140" i="30"/>
  <c r="G139" i="30"/>
  <c r="H137" i="38"/>
  <c r="I137" i="38"/>
  <c r="D143" i="24"/>
  <c r="E143" i="24"/>
  <c r="G142" i="24"/>
  <c r="D138" i="37"/>
  <c r="G137" i="37"/>
  <c r="E138" i="37"/>
  <c r="G148" i="10"/>
  <c r="D149" i="10"/>
  <c r="B149" i="10" s="1"/>
  <c r="J139" i="28"/>
  <c r="D145" i="22"/>
  <c r="G144" i="22"/>
  <c r="E145" i="22"/>
  <c r="B138" i="38"/>
  <c r="F138" i="38"/>
  <c r="E141" i="28"/>
  <c r="D141" i="28"/>
  <c r="G140" i="28"/>
  <c r="G145" i="3"/>
  <c r="D146" i="3"/>
  <c r="D147" i="6"/>
  <c r="B147" i="6" s="1"/>
  <c r="G146" i="6"/>
  <c r="E138" i="40"/>
  <c r="G137" i="40"/>
  <c r="D138" i="40"/>
  <c r="G147" i="11"/>
  <c r="D148" i="11"/>
  <c r="E148" i="11" s="1"/>
  <c r="G144" i="25"/>
  <c r="E145" i="25"/>
  <c r="D145" i="25"/>
  <c r="G145" i="4"/>
  <c r="D146" i="4"/>
  <c r="B142" i="29"/>
  <c r="F142" i="29"/>
  <c r="J140" i="31"/>
  <c r="H141" i="29"/>
  <c r="I141" i="29"/>
  <c r="D63" i="29"/>
  <c r="E63" i="29" s="1"/>
  <c r="G62" i="29"/>
  <c r="H62" i="29"/>
  <c r="B59" i="39"/>
  <c r="F138" i="39"/>
  <c r="B138" i="39"/>
  <c r="F67" i="5"/>
  <c r="B67" i="5"/>
  <c r="B64" i="23"/>
  <c r="F64" i="23"/>
  <c r="B67" i="4"/>
  <c r="F67" i="4"/>
  <c r="G67" i="4" s="1"/>
  <c r="D142" i="31"/>
  <c r="E142" i="31"/>
  <c r="G141" i="31"/>
  <c r="I59" i="30"/>
  <c r="G60" i="31"/>
  <c r="I60" i="31" s="1"/>
  <c r="I64" i="25"/>
  <c r="B67" i="8"/>
  <c r="F67" i="8"/>
  <c r="H67" i="8" s="1"/>
  <c r="I68" i="11"/>
  <c r="D138" i="41"/>
  <c r="G137" i="41"/>
  <c r="E138" i="41"/>
  <c r="F63" i="24"/>
  <c r="H63" i="24" s="1"/>
  <c r="B63" i="24"/>
  <c r="B58" i="40"/>
  <c r="F58" i="40"/>
  <c r="G58" i="40" s="1"/>
  <c r="B67" i="3"/>
  <c r="F67" i="3"/>
  <c r="H67" i="3" s="1"/>
  <c r="B60" i="30"/>
  <c r="F60" i="30"/>
  <c r="H60" i="30" s="1"/>
  <c r="B65" i="22"/>
  <c r="F65" i="22"/>
  <c r="G65" i="22" s="1"/>
  <c r="B70" i="7"/>
  <c r="F70" i="7"/>
  <c r="D138" i="43"/>
  <c r="G137" i="43"/>
  <c r="E138" i="43"/>
  <c r="F58" i="43"/>
  <c r="G58" i="43" s="1"/>
  <c r="H58" i="43"/>
  <c r="B58" i="43"/>
  <c r="B69" i="10"/>
  <c r="F69" i="10"/>
  <c r="H69" i="10" s="1"/>
  <c r="G69" i="10"/>
  <c r="B58" i="37"/>
  <c r="F58" i="37"/>
  <c r="H58" i="37" s="1"/>
  <c r="B65" i="25"/>
  <c r="G139" i="13"/>
  <c r="D140" i="13"/>
  <c r="E140" i="13" s="1"/>
  <c r="F69" i="11"/>
  <c r="H69" i="11"/>
  <c r="B69" i="11"/>
  <c r="I58" i="13"/>
  <c r="I138" i="42"/>
  <c r="H138" i="42"/>
  <c r="D61" i="31"/>
  <c r="E61" i="31" s="1"/>
  <c r="D139" i="44"/>
  <c r="G138" i="44"/>
  <c r="B57" i="45"/>
  <c r="F57" i="45"/>
  <c r="F61" i="28"/>
  <c r="B61" i="28"/>
  <c r="E65" i="25"/>
  <c r="F65" i="25" s="1"/>
  <c r="B58" i="38"/>
  <c r="H58" i="38"/>
  <c r="F58" i="38"/>
  <c r="D138" i="45"/>
  <c r="E138" i="45" s="1"/>
  <c r="G137" i="45"/>
  <c r="H137" i="39"/>
  <c r="I137" i="39"/>
  <c r="F57" i="42"/>
  <c r="G57" i="42" s="1"/>
  <c r="B57" i="42"/>
  <c r="B58" i="41"/>
  <c r="F58" i="41"/>
  <c r="G58" i="41"/>
  <c r="E59" i="39"/>
  <c r="F59" i="39" s="1"/>
  <c r="B59" i="13"/>
  <c r="F59" i="13"/>
  <c r="F139" i="42"/>
  <c r="B139" i="42"/>
  <c r="G60" i="30" l="1"/>
  <c r="H67" i="4"/>
  <c r="I67" i="4"/>
  <c r="I62" i="29"/>
  <c r="H58" i="40"/>
  <c r="I58" i="40" s="1"/>
  <c r="I67" i="6"/>
  <c r="I69" i="10"/>
  <c r="H57" i="42"/>
  <c r="I69" i="9"/>
  <c r="B68" i="6"/>
  <c r="F68" i="6"/>
  <c r="G67" i="3"/>
  <c r="I67" i="3" s="1"/>
  <c r="D63" i="27"/>
  <c r="G62" i="27"/>
  <c r="H62" i="27"/>
  <c r="D70" i="9"/>
  <c r="H57" i="44"/>
  <c r="I57" i="44" s="1"/>
  <c r="D58" i="44"/>
  <c r="B145" i="25"/>
  <c r="F145" i="25"/>
  <c r="E146" i="3"/>
  <c r="F146" i="3" s="1"/>
  <c r="B146" i="3"/>
  <c r="I144" i="22"/>
  <c r="H144" i="22"/>
  <c r="F138" i="37"/>
  <c r="B138" i="37"/>
  <c r="B147" i="8"/>
  <c r="B146" i="4"/>
  <c r="I147" i="11"/>
  <c r="H147" i="11"/>
  <c r="E147" i="6"/>
  <c r="F147" i="6" s="1"/>
  <c r="I145" i="3"/>
  <c r="J145" i="3" s="1"/>
  <c r="H145" i="3"/>
  <c r="D139" i="38"/>
  <c r="G138" i="38"/>
  <c r="E139" i="38"/>
  <c r="B145" i="22"/>
  <c r="F145" i="22"/>
  <c r="H148" i="10"/>
  <c r="I148" i="10"/>
  <c r="J148" i="10" s="1"/>
  <c r="H142" i="24"/>
  <c r="I142" i="24"/>
  <c r="I141" i="27"/>
  <c r="H141" i="27"/>
  <c r="B144" i="23"/>
  <c r="F144" i="23"/>
  <c r="E146" i="5"/>
  <c r="F146" i="5"/>
  <c r="B146" i="5"/>
  <c r="I148" i="7"/>
  <c r="J148" i="7" s="1"/>
  <c r="H148" i="7"/>
  <c r="E146" i="4"/>
  <c r="F146" i="4" s="1"/>
  <c r="H144" i="25"/>
  <c r="I144" i="25"/>
  <c r="B138" i="40"/>
  <c r="F138" i="40"/>
  <c r="H146" i="6"/>
  <c r="I146" i="6"/>
  <c r="J146" i="6" s="1"/>
  <c r="H140" i="28"/>
  <c r="I140" i="28"/>
  <c r="I139" i="30"/>
  <c r="H139" i="30"/>
  <c r="H146" i="8"/>
  <c r="I146" i="8"/>
  <c r="H143" i="23"/>
  <c r="I143" i="23"/>
  <c r="I145" i="5"/>
  <c r="J145" i="5" s="1"/>
  <c r="H145" i="5"/>
  <c r="H147" i="9"/>
  <c r="I147" i="9"/>
  <c r="H145" i="4"/>
  <c r="I145" i="4"/>
  <c r="F148" i="11"/>
  <c r="B148" i="11"/>
  <c r="H137" i="40"/>
  <c r="I137" i="40"/>
  <c r="B141" i="28"/>
  <c r="F141" i="28"/>
  <c r="E149" i="10"/>
  <c r="F149" i="10" s="1"/>
  <c r="H137" i="37"/>
  <c r="I137" i="37"/>
  <c r="B143" i="24"/>
  <c r="F143" i="24"/>
  <c r="F140" i="30"/>
  <c r="B140" i="30"/>
  <c r="B142" i="27"/>
  <c r="F142" i="27"/>
  <c r="E147" i="8"/>
  <c r="F147" i="8" s="1"/>
  <c r="E149" i="7"/>
  <c r="F149" i="7" s="1"/>
  <c r="E148" i="9"/>
  <c r="F148" i="9" s="1"/>
  <c r="B148" i="9"/>
  <c r="D143" i="29"/>
  <c r="E143" i="29"/>
  <c r="G142" i="29"/>
  <c r="J141" i="29"/>
  <c r="D66" i="25"/>
  <c r="H65" i="25"/>
  <c r="G65" i="25"/>
  <c r="D60" i="39"/>
  <c r="G59" i="39"/>
  <c r="H59" i="39"/>
  <c r="B139" i="44"/>
  <c r="I58" i="43"/>
  <c r="D71" i="7"/>
  <c r="E71" i="7" s="1"/>
  <c r="D68" i="5"/>
  <c r="E68" i="5" s="1"/>
  <c r="D62" i="28"/>
  <c r="D140" i="42"/>
  <c r="G139" i="42"/>
  <c r="H61" i="28"/>
  <c r="D70" i="11"/>
  <c r="D59" i="37"/>
  <c r="E59" i="37" s="1"/>
  <c r="D64" i="24"/>
  <c r="E64" i="24" s="1"/>
  <c r="H141" i="31"/>
  <c r="I141" i="31"/>
  <c r="G67" i="5"/>
  <c r="H137" i="45"/>
  <c r="I137" i="45"/>
  <c r="F61" i="31"/>
  <c r="B61" i="31"/>
  <c r="D59" i="43"/>
  <c r="E59" i="43" s="1"/>
  <c r="I60" i="30"/>
  <c r="D65" i="23"/>
  <c r="D60" i="13"/>
  <c r="E60" i="13" s="1"/>
  <c r="D58" i="45"/>
  <c r="E58" i="45" s="1"/>
  <c r="H137" i="41"/>
  <c r="I137" i="41"/>
  <c r="B142" i="31"/>
  <c r="F142" i="31"/>
  <c r="F63" i="29"/>
  <c r="H63" i="29" s="1"/>
  <c r="B63" i="29"/>
  <c r="F138" i="45"/>
  <c r="B138" i="45"/>
  <c r="D59" i="41"/>
  <c r="E59" i="41"/>
  <c r="I57" i="42"/>
  <c r="D59" i="38"/>
  <c r="E59" i="38" s="1"/>
  <c r="G57" i="45"/>
  <c r="H137" i="43"/>
  <c r="I137" i="43"/>
  <c r="D61" i="30"/>
  <c r="E61" i="30"/>
  <c r="D59" i="40"/>
  <c r="B138" i="41"/>
  <c r="F138" i="41"/>
  <c r="H64" i="23"/>
  <c r="G61" i="28"/>
  <c r="G59" i="13"/>
  <c r="H57" i="45"/>
  <c r="F140" i="13"/>
  <c r="B140" i="13"/>
  <c r="D70" i="10"/>
  <c r="F138" i="43"/>
  <c r="B138" i="43"/>
  <c r="D66" i="22"/>
  <c r="G64" i="23"/>
  <c r="D58" i="42"/>
  <c r="H138" i="44"/>
  <c r="I138" i="44"/>
  <c r="G69" i="11"/>
  <c r="I69" i="11" s="1"/>
  <c r="H139" i="13"/>
  <c r="I139" i="13"/>
  <c r="G70" i="7"/>
  <c r="D68" i="8"/>
  <c r="E68" i="8" s="1"/>
  <c r="D68" i="4"/>
  <c r="D139" i="39"/>
  <c r="G138" i="39"/>
  <c r="E139" i="39"/>
  <c r="H59" i="13"/>
  <c r="H58" i="41"/>
  <c r="I58" i="41" s="1"/>
  <c r="G58" i="38"/>
  <c r="I58" i="38" s="1"/>
  <c r="E139" i="44"/>
  <c r="F139" i="44" s="1"/>
  <c r="G58" i="37"/>
  <c r="I58" i="37" s="1"/>
  <c r="H70" i="7"/>
  <c r="H65" i="22"/>
  <c r="I65" i="22" s="1"/>
  <c r="D68" i="3"/>
  <c r="G63" i="24"/>
  <c r="I63" i="24" s="1"/>
  <c r="G67" i="8"/>
  <c r="I67" i="8" s="1"/>
  <c r="H67" i="5"/>
  <c r="I59" i="13" l="1"/>
  <c r="I65" i="25"/>
  <c r="B58" i="44"/>
  <c r="G63" i="29"/>
  <c r="I63" i="29" s="1"/>
  <c r="I62" i="27"/>
  <c r="G68" i="6"/>
  <c r="D69" i="6"/>
  <c r="E69" i="6" s="1"/>
  <c r="I57" i="45"/>
  <c r="B70" i="9"/>
  <c r="B63" i="27"/>
  <c r="H68" i="6"/>
  <c r="E58" i="44"/>
  <c r="F58" i="44" s="1"/>
  <c r="E70" i="9"/>
  <c r="F70" i="9" s="1"/>
  <c r="E63" i="27"/>
  <c r="F63" i="27" s="1"/>
  <c r="G148" i="9"/>
  <c r="D149" i="9"/>
  <c r="B149" i="9" s="1"/>
  <c r="G146" i="3"/>
  <c r="D147" i="3"/>
  <c r="G146" i="4"/>
  <c r="D147" i="4"/>
  <c r="D148" i="8"/>
  <c r="B148" i="8" s="1"/>
  <c r="G147" i="8"/>
  <c r="E148" i="8"/>
  <c r="F148" i="8" s="1"/>
  <c r="E143" i="27"/>
  <c r="G142" i="27"/>
  <c r="D143" i="27"/>
  <c r="D144" i="24"/>
  <c r="E144" i="24"/>
  <c r="G143" i="24"/>
  <c r="D150" i="10"/>
  <c r="G149" i="10"/>
  <c r="J141" i="27"/>
  <c r="H138" i="38"/>
  <c r="I138" i="38"/>
  <c r="G147" i="6"/>
  <c r="D148" i="6"/>
  <c r="B148" i="6" s="1"/>
  <c r="E139" i="37"/>
  <c r="D139" i="37"/>
  <c r="G138" i="37"/>
  <c r="G141" i="28"/>
  <c r="D142" i="28"/>
  <c r="E142" i="28"/>
  <c r="G144" i="23"/>
  <c r="D145" i="23"/>
  <c r="D146" i="22"/>
  <c r="G145" i="22"/>
  <c r="B139" i="38"/>
  <c r="F139" i="38"/>
  <c r="G149" i="7"/>
  <c r="D150" i="7"/>
  <c r="G148" i="11"/>
  <c r="D149" i="11"/>
  <c r="J139" i="30"/>
  <c r="D146" i="25"/>
  <c r="G145" i="25"/>
  <c r="E146" i="25"/>
  <c r="G140" i="30"/>
  <c r="E141" i="30"/>
  <c r="D141" i="30"/>
  <c r="J145" i="4"/>
  <c r="J146" i="8"/>
  <c r="J140" i="28"/>
  <c r="G138" i="40"/>
  <c r="D139" i="40"/>
  <c r="E139" i="40"/>
  <c r="G146" i="5"/>
  <c r="D147" i="5"/>
  <c r="B143" i="29"/>
  <c r="F143" i="29"/>
  <c r="I142" i="29"/>
  <c r="H142" i="29"/>
  <c r="D140" i="44"/>
  <c r="E140" i="44" s="1"/>
  <c r="G139" i="44"/>
  <c r="B59" i="40"/>
  <c r="D62" i="31"/>
  <c r="E62" i="31" s="1"/>
  <c r="B70" i="11"/>
  <c r="B140" i="42"/>
  <c r="B66" i="25"/>
  <c r="B58" i="42"/>
  <c r="F59" i="38"/>
  <c r="B59" i="38"/>
  <c r="H59" i="38"/>
  <c r="B65" i="23"/>
  <c r="E140" i="42"/>
  <c r="F140" i="42" s="1"/>
  <c r="E66" i="25"/>
  <c r="F66" i="25" s="1"/>
  <c r="B66" i="22"/>
  <c r="D139" i="43"/>
  <c r="G138" i="43"/>
  <c r="E139" i="43"/>
  <c r="I64" i="23"/>
  <c r="D64" i="29"/>
  <c r="E64" i="29" s="1"/>
  <c r="E65" i="23"/>
  <c r="F65" i="23" s="1"/>
  <c r="I59" i="39"/>
  <c r="B70" i="10"/>
  <c r="B59" i="43"/>
  <c r="F59" i="43"/>
  <c r="I61" i="28"/>
  <c r="B68" i="3"/>
  <c r="F61" i="30"/>
  <c r="H61" i="30" s="1"/>
  <c r="B61" i="30"/>
  <c r="F59" i="41"/>
  <c r="B59" i="41"/>
  <c r="B58" i="45"/>
  <c r="F58" i="45"/>
  <c r="G58" i="45" s="1"/>
  <c r="F64" i="24"/>
  <c r="H64" i="24" s="1"/>
  <c r="B64" i="24"/>
  <c r="B62" i="28"/>
  <c r="B60" i="39"/>
  <c r="B68" i="4"/>
  <c r="F68" i="8"/>
  <c r="H68" i="8" s="1"/>
  <c r="B68" i="8"/>
  <c r="E70" i="10"/>
  <c r="F70" i="10" s="1"/>
  <c r="H70" i="10" s="1"/>
  <c r="E68" i="3"/>
  <c r="F68" i="3" s="1"/>
  <c r="I138" i="39"/>
  <c r="H138" i="39"/>
  <c r="G138" i="41"/>
  <c r="D139" i="41"/>
  <c r="E139" i="41"/>
  <c r="B60" i="13"/>
  <c r="F60" i="13"/>
  <c r="H60" i="13" s="1"/>
  <c r="E62" i="28"/>
  <c r="F62" i="28" s="1"/>
  <c r="E60" i="39"/>
  <c r="F60" i="39" s="1"/>
  <c r="B139" i="39"/>
  <c r="F139" i="39"/>
  <c r="G140" i="13"/>
  <c r="D141" i="13"/>
  <c r="G138" i="45"/>
  <c r="D139" i="45"/>
  <c r="E139" i="45" s="1"/>
  <c r="H61" i="31"/>
  <c r="J141" i="31"/>
  <c r="F59" i="37"/>
  <c r="H59" i="37" s="1"/>
  <c r="B59" i="37"/>
  <c r="F68" i="5"/>
  <c r="H68" i="5"/>
  <c r="B68" i="5"/>
  <c r="B71" i="7"/>
  <c r="F71" i="7"/>
  <c r="G71" i="7" s="1"/>
  <c r="I70" i="7"/>
  <c r="E68" i="4"/>
  <c r="F68" i="4" s="1"/>
  <c r="E58" i="42"/>
  <c r="F58" i="42" s="1"/>
  <c r="E66" i="22"/>
  <c r="F66" i="22" s="1"/>
  <c r="E59" i="40"/>
  <c r="F59" i="40" s="1"/>
  <c r="E143" i="31"/>
  <c r="D143" i="31"/>
  <c r="G142" i="31"/>
  <c r="G61" i="31"/>
  <c r="E70" i="11"/>
  <c r="F70" i="11" s="1"/>
  <c r="H139" i="42"/>
  <c r="I139" i="42"/>
  <c r="G59" i="37" l="1"/>
  <c r="G68" i="8"/>
  <c r="G61" i="30"/>
  <c r="I61" i="30" s="1"/>
  <c r="I68" i="6"/>
  <c r="H58" i="45"/>
  <c r="H63" i="27"/>
  <c r="D64" i="27"/>
  <c r="G63" i="27"/>
  <c r="D59" i="44"/>
  <c r="I59" i="37"/>
  <c r="H58" i="44"/>
  <c r="G70" i="9"/>
  <c r="D71" i="9"/>
  <c r="H70" i="9"/>
  <c r="I70" i="9" s="1"/>
  <c r="G58" i="44"/>
  <c r="F69" i="6"/>
  <c r="H69" i="6" s="1"/>
  <c r="B69" i="6"/>
  <c r="E147" i="5"/>
  <c r="B147" i="5"/>
  <c r="F147" i="5"/>
  <c r="H138" i="40"/>
  <c r="I138" i="40"/>
  <c r="F141" i="30"/>
  <c r="B141" i="30"/>
  <c r="H145" i="25"/>
  <c r="I145" i="25"/>
  <c r="H148" i="11"/>
  <c r="I148" i="11"/>
  <c r="E145" i="23"/>
  <c r="F145" i="23" s="1"/>
  <c r="B145" i="23"/>
  <c r="I141" i="28"/>
  <c r="H141" i="28"/>
  <c r="E148" i="6"/>
  <c r="F148" i="6" s="1"/>
  <c r="H143" i="24"/>
  <c r="I143" i="24"/>
  <c r="I142" i="27"/>
  <c r="J142" i="27" s="1"/>
  <c r="H142" i="27"/>
  <c r="H146" i="3"/>
  <c r="I146" i="3"/>
  <c r="J146" i="3" s="1"/>
  <c r="I146" i="5"/>
  <c r="J146" i="5" s="1"/>
  <c r="H146" i="5"/>
  <c r="B146" i="25"/>
  <c r="F146" i="25"/>
  <c r="E150" i="7"/>
  <c r="F150" i="7" s="1"/>
  <c r="B150" i="7"/>
  <c r="H145" i="22"/>
  <c r="I145" i="22"/>
  <c r="H144" i="23"/>
  <c r="I144" i="23"/>
  <c r="H138" i="37"/>
  <c r="I138" i="37"/>
  <c r="E147" i="4"/>
  <c r="F147" i="4"/>
  <c r="B147" i="4"/>
  <c r="E149" i="9"/>
  <c r="F149" i="9" s="1"/>
  <c r="H140" i="30"/>
  <c r="I140" i="30"/>
  <c r="J140" i="30" s="1"/>
  <c r="H149" i="7"/>
  <c r="I149" i="7"/>
  <c r="J149" i="7" s="1"/>
  <c r="B146" i="22"/>
  <c r="F139" i="37"/>
  <c r="B139" i="37"/>
  <c r="H147" i="6"/>
  <c r="I147" i="6"/>
  <c r="J147" i="6" s="1"/>
  <c r="I149" i="10"/>
  <c r="H149" i="10"/>
  <c r="F144" i="24"/>
  <c r="B144" i="24"/>
  <c r="G148" i="8"/>
  <c r="D149" i="8"/>
  <c r="H146" i="4"/>
  <c r="I146" i="4"/>
  <c r="J146" i="4" s="1"/>
  <c r="F139" i="40"/>
  <c r="B139" i="40"/>
  <c r="E149" i="11"/>
  <c r="B149" i="11"/>
  <c r="F149" i="11"/>
  <c r="E140" i="38"/>
  <c r="G139" i="38"/>
  <c r="D140" i="38"/>
  <c r="E146" i="22"/>
  <c r="F146" i="22" s="1"/>
  <c r="B142" i="28"/>
  <c r="F142" i="28"/>
  <c r="E150" i="10"/>
  <c r="F150" i="10" s="1"/>
  <c r="B150" i="10"/>
  <c r="B143" i="27"/>
  <c r="F143" i="27"/>
  <c r="H147" i="8"/>
  <c r="I147" i="8"/>
  <c r="J147" i="8" s="1"/>
  <c r="E147" i="3"/>
  <c r="F147" i="3"/>
  <c r="B147" i="3"/>
  <c r="I148" i="9"/>
  <c r="H148" i="9"/>
  <c r="J142" i="29"/>
  <c r="E144" i="29"/>
  <c r="G143" i="29"/>
  <c r="D144" i="29"/>
  <c r="D60" i="40"/>
  <c r="E60" i="40" s="1"/>
  <c r="H59" i="40"/>
  <c r="G59" i="40"/>
  <c r="D66" i="23"/>
  <c r="E66" i="23" s="1"/>
  <c r="G65" i="23"/>
  <c r="H65" i="23"/>
  <c r="D67" i="25"/>
  <c r="E67" i="25" s="1"/>
  <c r="G66" i="25"/>
  <c r="H66" i="25"/>
  <c r="D71" i="11"/>
  <c r="E71" i="11" s="1"/>
  <c r="H70" i="11"/>
  <c r="G70" i="11"/>
  <c r="D69" i="3"/>
  <c r="G68" i="3"/>
  <c r="H68" i="3"/>
  <c r="I68" i="3" s="1"/>
  <c r="D141" i="42"/>
  <c r="E141" i="42" s="1"/>
  <c r="G140" i="42"/>
  <c r="D67" i="22"/>
  <c r="E67" i="22"/>
  <c r="G66" i="22"/>
  <c r="H66" i="22"/>
  <c r="D69" i="4"/>
  <c r="G68" i="4"/>
  <c r="H68" i="4"/>
  <c r="D61" i="39"/>
  <c r="E61" i="39"/>
  <c r="H60" i="39"/>
  <c r="I60" i="39" s="1"/>
  <c r="G60" i="39"/>
  <c r="D59" i="42"/>
  <c r="E59" i="42" s="1"/>
  <c r="G58" i="42"/>
  <c r="H58" i="42"/>
  <c r="I58" i="42" s="1"/>
  <c r="D63" i="28"/>
  <c r="E63" i="28" s="1"/>
  <c r="G62" i="28"/>
  <c r="H62" i="28"/>
  <c r="H140" i="13"/>
  <c r="I140" i="13"/>
  <c r="I68" i="8"/>
  <c r="D60" i="41"/>
  <c r="E60" i="41" s="1"/>
  <c r="I138" i="43"/>
  <c r="H138" i="43"/>
  <c r="D71" i="10"/>
  <c r="F139" i="43"/>
  <c r="B139" i="43"/>
  <c r="B143" i="31"/>
  <c r="F143" i="31"/>
  <c r="D69" i="8"/>
  <c r="E69" i="8" s="1"/>
  <c r="G70" i="10"/>
  <c r="I70" i="10" s="1"/>
  <c r="B139" i="41"/>
  <c r="F139" i="41"/>
  <c r="D65" i="24"/>
  <c r="E65" i="24" s="1"/>
  <c r="I139" i="44"/>
  <c r="H139" i="44"/>
  <c r="I142" i="31"/>
  <c r="J142" i="31" s="1"/>
  <c r="H142" i="31"/>
  <c r="D69" i="5"/>
  <c r="F139" i="45"/>
  <c r="B139" i="45"/>
  <c r="I138" i="41"/>
  <c r="H138" i="41"/>
  <c r="G64" i="24"/>
  <c r="I64" i="24" s="1"/>
  <c r="D62" i="30"/>
  <c r="E62" i="30"/>
  <c r="D60" i="43"/>
  <c r="E60" i="43" s="1"/>
  <c r="F64" i="29"/>
  <c r="H64" i="29" s="1"/>
  <c r="B64" i="29"/>
  <c r="B140" i="44"/>
  <c r="F140" i="44"/>
  <c r="G68" i="5"/>
  <c r="I61" i="31"/>
  <c r="H138" i="45"/>
  <c r="I138" i="45"/>
  <c r="G59" i="41"/>
  <c r="H59" i="43"/>
  <c r="F62" i="31"/>
  <c r="B62" i="31"/>
  <c r="D60" i="37"/>
  <c r="E60" i="37" s="1"/>
  <c r="B141" i="13"/>
  <c r="D61" i="13"/>
  <c r="E61" i="13" s="1"/>
  <c r="I58" i="45"/>
  <c r="G59" i="43"/>
  <c r="D60" i="38"/>
  <c r="E60" i="38" s="1"/>
  <c r="E140" i="39"/>
  <c r="D140" i="39"/>
  <c r="G139" i="39"/>
  <c r="D72" i="7"/>
  <c r="E72" i="7" s="1"/>
  <c r="E73" i="7" s="1"/>
  <c r="H71" i="7"/>
  <c r="I71" i="7" s="1"/>
  <c r="E141" i="13"/>
  <c r="F141" i="13" s="1"/>
  <c r="G60" i="13"/>
  <c r="I60" i="13" s="1"/>
  <c r="D59" i="45"/>
  <c r="E59" i="45" s="1"/>
  <c r="H59" i="41"/>
  <c r="G59" i="38"/>
  <c r="I59" i="38" s="1"/>
  <c r="I65" i="23" l="1"/>
  <c r="I59" i="41"/>
  <c r="I66" i="25"/>
  <c r="B59" i="44"/>
  <c r="E71" i="9"/>
  <c r="F71" i="9" s="1"/>
  <c r="B71" i="9"/>
  <c r="E64" i="27"/>
  <c r="F64" i="27" s="1"/>
  <c r="B64" i="27"/>
  <c r="I58" i="44"/>
  <c r="I68" i="4"/>
  <c r="G69" i="6"/>
  <c r="I69" i="6" s="1"/>
  <c r="D70" i="6"/>
  <c r="E59" i="44"/>
  <c r="F59" i="44" s="1"/>
  <c r="I63" i="27"/>
  <c r="D147" i="22"/>
  <c r="E147" i="22" s="1"/>
  <c r="G146" i="22"/>
  <c r="G145" i="23"/>
  <c r="D146" i="23"/>
  <c r="B146" i="23" s="1"/>
  <c r="G150" i="10"/>
  <c r="D151" i="10"/>
  <c r="E151" i="10"/>
  <c r="G150" i="7"/>
  <c r="D151" i="7"/>
  <c r="E151" i="7" s="1"/>
  <c r="B149" i="8"/>
  <c r="E149" i="8"/>
  <c r="F149" i="8" s="1"/>
  <c r="G149" i="9"/>
  <c r="D150" i="9"/>
  <c r="G149" i="11"/>
  <c r="D150" i="11"/>
  <c r="G139" i="40"/>
  <c r="D140" i="40"/>
  <c r="E140" i="40"/>
  <c r="H148" i="8"/>
  <c r="I148" i="8"/>
  <c r="J148" i="8" s="1"/>
  <c r="J149" i="10"/>
  <c r="G139" i="37"/>
  <c r="D140" i="37"/>
  <c r="E140" i="37"/>
  <c r="D147" i="25"/>
  <c r="B147" i="25" s="1"/>
  <c r="G146" i="25"/>
  <c r="J141" i="28"/>
  <c r="D148" i="5"/>
  <c r="G147" i="5"/>
  <c r="D148" i="3"/>
  <c r="B148" i="3" s="1"/>
  <c r="G147" i="3"/>
  <c r="E148" i="3"/>
  <c r="F148" i="3" s="1"/>
  <c r="E144" i="27"/>
  <c r="D144" i="27"/>
  <c r="G143" i="27"/>
  <c r="B140" i="38"/>
  <c r="F140" i="38"/>
  <c r="G147" i="4"/>
  <c r="D148" i="4"/>
  <c r="B148" i="4" s="1"/>
  <c r="E148" i="4"/>
  <c r="F148" i="4" s="1"/>
  <c r="E142" i="30"/>
  <c r="G141" i="30"/>
  <c r="D142" i="30"/>
  <c r="D143" i="28"/>
  <c r="G142" i="28"/>
  <c r="E143" i="28"/>
  <c r="I139" i="38"/>
  <c r="H139" i="38"/>
  <c r="D145" i="24"/>
  <c r="E145" i="24"/>
  <c r="G144" i="24"/>
  <c r="D149" i="6"/>
  <c r="B149" i="6" s="1"/>
  <c r="G148" i="6"/>
  <c r="F144" i="29"/>
  <c r="B144" i="29"/>
  <c r="H143" i="29"/>
  <c r="I143" i="29"/>
  <c r="J143" i="29" s="1"/>
  <c r="G141" i="13"/>
  <c r="D142" i="13"/>
  <c r="B71" i="10"/>
  <c r="B69" i="3"/>
  <c r="D63" i="31"/>
  <c r="E63" i="31" s="1"/>
  <c r="B60" i="43"/>
  <c r="F60" i="43"/>
  <c r="H60" i="43" s="1"/>
  <c r="G143" i="31"/>
  <c r="E144" i="31"/>
  <c r="D144" i="31"/>
  <c r="B61" i="39"/>
  <c r="F61" i="39"/>
  <c r="F67" i="22"/>
  <c r="H67" i="22" s="1"/>
  <c r="B67" i="22"/>
  <c r="H62" i="31"/>
  <c r="B63" i="28"/>
  <c r="F63" i="28"/>
  <c r="I140" i="42"/>
  <c r="H140" i="42"/>
  <c r="B140" i="39"/>
  <c r="F140" i="39"/>
  <c r="F61" i="13"/>
  <c r="H61" i="13" s="1"/>
  <c r="B61" i="13"/>
  <c r="G62" i="31"/>
  <c r="B62" i="30"/>
  <c r="F62" i="30"/>
  <c r="H62" i="30" s="1"/>
  <c r="F66" i="23"/>
  <c r="H66" i="23" s="1"/>
  <c r="B66" i="23"/>
  <c r="G139" i="45"/>
  <c r="D140" i="45"/>
  <c r="E140" i="45" s="1"/>
  <c r="B69" i="4"/>
  <c r="F141" i="42"/>
  <c r="B141" i="42"/>
  <c r="B72" i="7"/>
  <c r="F72" i="7"/>
  <c r="H72" i="7" s="1"/>
  <c r="B59" i="45"/>
  <c r="F59" i="45"/>
  <c r="G59" i="45"/>
  <c r="G64" i="29"/>
  <c r="I64" i="29" s="1"/>
  <c r="B69" i="5"/>
  <c r="F69" i="8"/>
  <c r="H69" i="8" s="1"/>
  <c r="B69" i="8"/>
  <c r="E69" i="4"/>
  <c r="F69" i="4" s="1"/>
  <c r="I70" i="11"/>
  <c r="I59" i="40"/>
  <c r="F60" i="38"/>
  <c r="G60" i="38" s="1"/>
  <c r="B60" i="38"/>
  <c r="E69" i="5"/>
  <c r="F69" i="5" s="1"/>
  <c r="B65" i="24"/>
  <c r="F65" i="24"/>
  <c r="H65" i="24" s="1"/>
  <c r="D140" i="43"/>
  <c r="G139" i="43"/>
  <c r="E140" i="43"/>
  <c r="B60" i="41"/>
  <c r="F60" i="41"/>
  <c r="H60" i="41" s="1"/>
  <c r="F59" i="42"/>
  <c r="G59" i="42" s="1"/>
  <c r="H59" i="42"/>
  <c r="B59" i="42"/>
  <c r="I66" i="22"/>
  <c r="B60" i="40"/>
  <c r="F60" i="40"/>
  <c r="H60" i="40" s="1"/>
  <c r="I139" i="39"/>
  <c r="H139" i="39"/>
  <c r="F60" i="37"/>
  <c r="H60" i="37" s="1"/>
  <c r="B60" i="37"/>
  <c r="I59" i="43"/>
  <c r="D141" i="44"/>
  <c r="G140" i="44"/>
  <c r="D65" i="29"/>
  <c r="D140" i="41"/>
  <c r="G139" i="41"/>
  <c r="E140" i="41"/>
  <c r="E71" i="10"/>
  <c r="F71" i="10" s="1"/>
  <c r="I62" i="28"/>
  <c r="E69" i="3"/>
  <c r="F69" i="3" s="1"/>
  <c r="F71" i="11"/>
  <c r="G71" i="11" s="1"/>
  <c r="H71" i="11"/>
  <c r="B71" i="11"/>
  <c r="F67" i="25"/>
  <c r="B67" i="25"/>
  <c r="G62" i="30" l="1"/>
  <c r="G60" i="40"/>
  <c r="H60" i="38"/>
  <c r="G59" i="44"/>
  <c r="D60" i="44"/>
  <c r="E60" i="44"/>
  <c r="H59" i="44"/>
  <c r="D65" i="27"/>
  <c r="G64" i="27"/>
  <c r="G69" i="8"/>
  <c r="I69" i="8" s="1"/>
  <c r="G71" i="9"/>
  <c r="D72" i="9"/>
  <c r="H71" i="9"/>
  <c r="I71" i="11"/>
  <c r="G65" i="24"/>
  <c r="I65" i="24" s="1"/>
  <c r="I60" i="38"/>
  <c r="I62" i="30"/>
  <c r="I60" i="40"/>
  <c r="G66" i="23"/>
  <c r="I66" i="23" s="1"/>
  <c r="E70" i="6"/>
  <c r="F70" i="6" s="1"/>
  <c r="B70" i="6"/>
  <c r="H64" i="27"/>
  <c r="F143" i="28"/>
  <c r="B143" i="28"/>
  <c r="D149" i="4"/>
  <c r="G148" i="4"/>
  <c r="D149" i="3"/>
  <c r="G148" i="3"/>
  <c r="E148" i="5"/>
  <c r="B148" i="5"/>
  <c r="F148" i="5"/>
  <c r="F140" i="40"/>
  <c r="B140" i="40"/>
  <c r="E150" i="9"/>
  <c r="B150" i="9"/>
  <c r="F150" i="9"/>
  <c r="B151" i="10"/>
  <c r="F151" i="10"/>
  <c r="I145" i="23"/>
  <c r="H145" i="23"/>
  <c r="H144" i="24"/>
  <c r="I144" i="24"/>
  <c r="B142" i="30"/>
  <c r="F142" i="30"/>
  <c r="I143" i="27"/>
  <c r="J143" i="27" s="1"/>
  <c r="H143" i="27"/>
  <c r="I147" i="3"/>
  <c r="J147" i="3" s="1"/>
  <c r="H147" i="3"/>
  <c r="I139" i="40"/>
  <c r="H139" i="40"/>
  <c r="I149" i="9"/>
  <c r="H149" i="9"/>
  <c r="F151" i="7"/>
  <c r="B151" i="7"/>
  <c r="I150" i="10"/>
  <c r="J150" i="10" s="1"/>
  <c r="H150" i="10"/>
  <c r="E149" i="6"/>
  <c r="F149" i="6" s="1"/>
  <c r="I141" i="30"/>
  <c r="H141" i="30"/>
  <c r="H147" i="4"/>
  <c r="I147" i="4"/>
  <c r="J147" i="4" s="1"/>
  <c r="B144" i="27"/>
  <c r="F144" i="27"/>
  <c r="E147" i="25"/>
  <c r="F147" i="25" s="1"/>
  <c r="F140" i="37"/>
  <c r="B140" i="37"/>
  <c r="E150" i="11"/>
  <c r="F150" i="11" s="1"/>
  <c r="B150" i="11"/>
  <c r="G149" i="8"/>
  <c r="D150" i="8"/>
  <c r="H150" i="7"/>
  <c r="I150" i="7"/>
  <c r="J150" i="7" s="1"/>
  <c r="E146" i="23"/>
  <c r="F146" i="23" s="1"/>
  <c r="H146" i="22"/>
  <c r="I146" i="22"/>
  <c r="I148" i="6"/>
  <c r="J148" i="6" s="1"/>
  <c r="H148" i="6"/>
  <c r="B145" i="24"/>
  <c r="F145" i="24"/>
  <c r="H142" i="28"/>
  <c r="I142" i="28"/>
  <c r="D141" i="38"/>
  <c r="E141" i="38"/>
  <c r="G140" i="38"/>
  <c r="H147" i="5"/>
  <c r="I147" i="5"/>
  <c r="J147" i="5" s="1"/>
  <c r="H146" i="25"/>
  <c r="I146" i="25"/>
  <c r="I139" i="37"/>
  <c r="H139" i="37"/>
  <c r="I149" i="11"/>
  <c r="H149" i="11"/>
  <c r="F147" i="22"/>
  <c r="B147" i="22"/>
  <c r="E145" i="29"/>
  <c r="G144" i="29"/>
  <c r="D145" i="29"/>
  <c r="H73" i="7"/>
  <c r="D70" i="3"/>
  <c r="E70" i="3" s="1"/>
  <c r="G69" i="3"/>
  <c r="H69" i="3"/>
  <c r="D72" i="10"/>
  <c r="E72" i="10" s="1"/>
  <c r="E73" i="10" s="1"/>
  <c r="G71" i="10"/>
  <c r="H71" i="10"/>
  <c r="D70" i="5"/>
  <c r="E70" i="5" s="1"/>
  <c r="G69" i="5"/>
  <c r="H69" i="5"/>
  <c r="D70" i="4"/>
  <c r="E70" i="4" s="1"/>
  <c r="H69" i="4"/>
  <c r="G69" i="4"/>
  <c r="G72" i="7"/>
  <c r="G73" i="7" s="1"/>
  <c r="G67" i="22"/>
  <c r="I67" i="22" s="1"/>
  <c r="I139" i="43"/>
  <c r="H139" i="43"/>
  <c r="D64" i="28"/>
  <c r="E64" i="28" s="1"/>
  <c r="F144" i="31"/>
  <c r="B144" i="31"/>
  <c r="D61" i="43"/>
  <c r="E61" i="43" s="1"/>
  <c r="D68" i="25"/>
  <c r="E68" i="25" s="1"/>
  <c r="I59" i="42"/>
  <c r="F140" i="43"/>
  <c r="B140" i="43"/>
  <c r="D70" i="8"/>
  <c r="D62" i="13"/>
  <c r="E62" i="13" s="1"/>
  <c r="G60" i="43"/>
  <c r="I60" i="43" s="1"/>
  <c r="B65" i="29"/>
  <c r="D60" i="42"/>
  <c r="D141" i="39"/>
  <c r="G140" i="39"/>
  <c r="E141" i="39"/>
  <c r="G63" i="28"/>
  <c r="D68" i="22"/>
  <c r="E68" i="22" s="1"/>
  <c r="I143" i="31"/>
  <c r="H143" i="31"/>
  <c r="B142" i="13"/>
  <c r="D61" i="37"/>
  <c r="E61" i="37" s="1"/>
  <c r="B141" i="44"/>
  <c r="D72" i="11"/>
  <c r="E141" i="44"/>
  <c r="F141" i="44" s="1"/>
  <c r="D66" i="24"/>
  <c r="E66" i="24" s="1"/>
  <c r="D61" i="38"/>
  <c r="E61" i="38"/>
  <c r="D60" i="45"/>
  <c r="E60" i="45" s="1"/>
  <c r="G141" i="42"/>
  <c r="D142" i="42"/>
  <c r="E142" i="42" s="1"/>
  <c r="F140" i="45"/>
  <c r="B140" i="45"/>
  <c r="H63" i="28"/>
  <c r="I63" i="28" s="1"/>
  <c r="D62" i="39"/>
  <c r="E62" i="39" s="1"/>
  <c r="E142" i="13"/>
  <c r="F142" i="13" s="1"/>
  <c r="D61" i="40"/>
  <c r="E61" i="40" s="1"/>
  <c r="D61" i="41"/>
  <c r="E61" i="41" s="1"/>
  <c r="H139" i="45"/>
  <c r="I139" i="45"/>
  <c r="D67" i="23"/>
  <c r="E67" i="23" s="1"/>
  <c r="I62" i="31"/>
  <c r="H61" i="39"/>
  <c r="I141" i="13"/>
  <c r="H141" i="13"/>
  <c r="E65" i="29"/>
  <c r="F65" i="29" s="1"/>
  <c r="H140" i="44"/>
  <c r="I140" i="44"/>
  <c r="I139" i="41"/>
  <c r="H139" i="41"/>
  <c r="G60" i="41"/>
  <c r="I60" i="41" s="1"/>
  <c r="H59" i="45"/>
  <c r="I59" i="45" s="1"/>
  <c r="D63" i="30"/>
  <c r="E63" i="30" s="1"/>
  <c r="G61" i="39"/>
  <c r="G67" i="25"/>
  <c r="H67" i="25"/>
  <c r="F140" i="41"/>
  <c r="B140" i="41"/>
  <c r="G60" i="37"/>
  <c r="I60" i="37" s="1"/>
  <c r="G61" i="13"/>
  <c r="I61" i="13" s="1"/>
  <c r="F63" i="31"/>
  <c r="H63" i="31" s="1"/>
  <c r="B63" i="31"/>
  <c r="G63" i="31" l="1"/>
  <c r="G70" i="6"/>
  <c r="D71" i="6"/>
  <c r="H70" i="6"/>
  <c r="B65" i="27"/>
  <c r="I61" i="39"/>
  <c r="I71" i="9"/>
  <c r="E65" i="27"/>
  <c r="F65" i="27" s="1"/>
  <c r="F60" i="44"/>
  <c r="B60" i="44"/>
  <c r="F72" i="9"/>
  <c r="G72" i="9" s="1"/>
  <c r="G73" i="9" s="1"/>
  <c r="B72" i="9"/>
  <c r="I63" i="31"/>
  <c r="I71" i="10"/>
  <c r="I69" i="3"/>
  <c r="E72" i="9"/>
  <c r="E73" i="9" s="1"/>
  <c r="I64" i="27"/>
  <c r="I59" i="44"/>
  <c r="D151" i="11"/>
  <c r="B151" i="11" s="1"/>
  <c r="G150" i="11"/>
  <c r="E151" i="11"/>
  <c r="F151" i="11" s="1"/>
  <c r="D148" i="22"/>
  <c r="G147" i="22"/>
  <c r="J142" i="28"/>
  <c r="G146" i="23"/>
  <c r="D147" i="23"/>
  <c r="H149" i="8"/>
  <c r="I149" i="8"/>
  <c r="J141" i="30"/>
  <c r="G151" i="10"/>
  <c r="D152" i="10"/>
  <c r="E152" i="10" s="1"/>
  <c r="H148" i="4"/>
  <c r="I148" i="4"/>
  <c r="J148" i="4" s="1"/>
  <c r="H140" i="38"/>
  <c r="I140" i="38"/>
  <c r="E141" i="37"/>
  <c r="D141" i="37"/>
  <c r="G140" i="37"/>
  <c r="D150" i="6"/>
  <c r="B150" i="6" s="1"/>
  <c r="G149" i="6"/>
  <c r="E150" i="6"/>
  <c r="F150" i="6" s="1"/>
  <c r="D152" i="7"/>
  <c r="G151" i="7"/>
  <c r="E149" i="4"/>
  <c r="F149" i="4"/>
  <c r="B149" i="4"/>
  <c r="D146" i="24"/>
  <c r="G145" i="24"/>
  <c r="G147" i="25"/>
  <c r="D148" i="25"/>
  <c r="G142" i="30"/>
  <c r="E143" i="30"/>
  <c r="D143" i="30"/>
  <c r="G150" i="9"/>
  <c r="D151" i="9"/>
  <c r="D141" i="40"/>
  <c r="G140" i="40"/>
  <c r="E141" i="40"/>
  <c r="I148" i="3"/>
  <c r="J148" i="3" s="1"/>
  <c r="H148" i="3"/>
  <c r="F141" i="38"/>
  <c r="B141" i="38"/>
  <c r="E150" i="8"/>
  <c r="F150" i="8" s="1"/>
  <c r="B150" i="8"/>
  <c r="G144" i="27"/>
  <c r="D145" i="27"/>
  <c r="B145" i="27" s="1"/>
  <c r="G148" i="5"/>
  <c r="D149" i="5"/>
  <c r="E149" i="3"/>
  <c r="F149" i="3" s="1"/>
  <c r="B149" i="3"/>
  <c r="E144" i="28"/>
  <c r="G143" i="28"/>
  <c r="D144" i="28"/>
  <c r="J143" i="31"/>
  <c r="B145" i="29"/>
  <c r="F145" i="29"/>
  <c r="H144" i="29"/>
  <c r="I144" i="29"/>
  <c r="D66" i="29"/>
  <c r="E66" i="29" s="1"/>
  <c r="G65" i="29"/>
  <c r="H65" i="29"/>
  <c r="I65" i="29" s="1"/>
  <c r="G141" i="44"/>
  <c r="D142" i="44"/>
  <c r="E142" i="44" s="1"/>
  <c r="G142" i="13"/>
  <c r="D143" i="13"/>
  <c r="B70" i="8"/>
  <c r="H61" i="37"/>
  <c r="F61" i="37"/>
  <c r="B61" i="37"/>
  <c r="G61" i="37"/>
  <c r="B68" i="22"/>
  <c r="F68" i="22"/>
  <c r="B60" i="42"/>
  <c r="B62" i="13"/>
  <c r="F62" i="13"/>
  <c r="H62" i="13" s="1"/>
  <c r="E60" i="42"/>
  <c r="F60" i="42" s="1"/>
  <c r="G140" i="43"/>
  <c r="D141" i="43"/>
  <c r="E141" i="43"/>
  <c r="I69" i="4"/>
  <c r="D64" i="31"/>
  <c r="E64" i="31" s="1"/>
  <c r="D141" i="41"/>
  <c r="G140" i="41"/>
  <c r="E141" i="41"/>
  <c r="D141" i="45"/>
  <c r="E141" i="45" s="1"/>
  <c r="G140" i="45"/>
  <c r="F61" i="43"/>
  <c r="H61" i="43" s="1"/>
  <c r="B61" i="43"/>
  <c r="I67" i="25"/>
  <c r="B72" i="11"/>
  <c r="I140" i="39"/>
  <c r="H140" i="39"/>
  <c r="B70" i="4"/>
  <c r="F70" i="4"/>
  <c r="H70" i="4" s="1"/>
  <c r="B72" i="10"/>
  <c r="F72" i="10"/>
  <c r="G72" i="10" s="1"/>
  <c r="G73" i="10" s="1"/>
  <c r="B61" i="41"/>
  <c r="F61" i="41"/>
  <c r="G61" i="41" s="1"/>
  <c r="B142" i="42"/>
  <c r="F142" i="42"/>
  <c r="F61" i="38"/>
  <c r="G61" i="38" s="1"/>
  <c r="B61" i="38"/>
  <c r="E72" i="11"/>
  <c r="E73" i="11" s="1"/>
  <c r="B141" i="39"/>
  <c r="F141" i="39"/>
  <c r="E145" i="31"/>
  <c r="G144" i="31"/>
  <c r="D145" i="31"/>
  <c r="F70" i="3"/>
  <c r="H70" i="3" s="1"/>
  <c r="B70" i="3"/>
  <c r="B63" i="30"/>
  <c r="F63" i="30"/>
  <c r="H63" i="30" s="1"/>
  <c r="G63" i="30"/>
  <c r="F62" i="39"/>
  <c r="H62" i="39" s="1"/>
  <c r="B62" i="39"/>
  <c r="I141" i="42"/>
  <c r="H141" i="42"/>
  <c r="B66" i="24"/>
  <c r="F66" i="24"/>
  <c r="H66" i="24" s="1"/>
  <c r="F64" i="28"/>
  <c r="G64" i="28" s="1"/>
  <c r="B64" i="28"/>
  <c r="F67" i="23"/>
  <c r="G67" i="23" s="1"/>
  <c r="B67" i="23"/>
  <c r="B61" i="40"/>
  <c r="F61" i="40"/>
  <c r="H61" i="40" s="1"/>
  <c r="F60" i="45"/>
  <c r="G60" i="45" s="1"/>
  <c r="B60" i="45"/>
  <c r="E70" i="8"/>
  <c r="F70" i="8" s="1"/>
  <c r="B68" i="25"/>
  <c r="F68" i="25"/>
  <c r="G68" i="25" s="1"/>
  <c r="F70" i="5"/>
  <c r="G70" i="5" s="1"/>
  <c r="B70" i="5"/>
  <c r="I72" i="7"/>
  <c r="I73" i="7" s="1"/>
  <c r="H64" i="28" l="1"/>
  <c r="I61" i="37"/>
  <c r="H72" i="9"/>
  <c r="H67" i="23"/>
  <c r="H61" i="38"/>
  <c r="G61" i="43"/>
  <c r="I61" i="43" s="1"/>
  <c r="H65" i="27"/>
  <c r="D66" i="27"/>
  <c r="B66" i="27" s="1"/>
  <c r="G65" i="27"/>
  <c r="D61" i="44"/>
  <c r="B71" i="6"/>
  <c r="H60" i="45"/>
  <c r="I60" i="45" s="1"/>
  <c r="G70" i="3"/>
  <c r="I70" i="3" s="1"/>
  <c r="H72" i="10"/>
  <c r="G60" i="44"/>
  <c r="I70" i="6"/>
  <c r="H73" i="9"/>
  <c r="I72" i="9"/>
  <c r="I73" i="9" s="1"/>
  <c r="H68" i="25"/>
  <c r="G62" i="13"/>
  <c r="I62" i="13" s="1"/>
  <c r="H60" i="44"/>
  <c r="E71" i="6"/>
  <c r="F71" i="6" s="1"/>
  <c r="D150" i="3"/>
  <c r="G149" i="3"/>
  <c r="E149" i="5"/>
  <c r="B149" i="5"/>
  <c r="F149" i="5"/>
  <c r="H144" i="27"/>
  <c r="I144" i="27"/>
  <c r="J144" i="27" s="1"/>
  <c r="E142" i="38"/>
  <c r="D142" i="38"/>
  <c r="G141" i="38"/>
  <c r="H140" i="40"/>
  <c r="I140" i="40"/>
  <c r="B143" i="30"/>
  <c r="F143" i="30"/>
  <c r="H147" i="25"/>
  <c r="I147" i="25"/>
  <c r="G149" i="4"/>
  <c r="D150" i="4"/>
  <c r="D151" i="6"/>
  <c r="G150" i="6"/>
  <c r="E151" i="6"/>
  <c r="F141" i="37"/>
  <c r="B141" i="37"/>
  <c r="H151" i="10"/>
  <c r="I151" i="10"/>
  <c r="J151" i="10" s="1"/>
  <c r="E147" i="23"/>
  <c r="F147" i="23"/>
  <c r="B147" i="23"/>
  <c r="B148" i="22"/>
  <c r="E148" i="22"/>
  <c r="F148" i="22" s="1"/>
  <c r="I148" i="5"/>
  <c r="J148" i="5" s="1"/>
  <c r="H148" i="5"/>
  <c r="F141" i="40"/>
  <c r="B141" i="40"/>
  <c r="I145" i="24"/>
  <c r="H145" i="24"/>
  <c r="I149" i="6"/>
  <c r="J149" i="6" s="1"/>
  <c r="H149" i="6"/>
  <c r="H146" i="23"/>
  <c r="I146" i="23"/>
  <c r="G151" i="11"/>
  <c r="D152" i="11"/>
  <c r="B144" i="28"/>
  <c r="F144" i="28"/>
  <c r="E145" i="27"/>
  <c r="F145" i="27" s="1"/>
  <c r="G150" i="8"/>
  <c r="D151" i="8"/>
  <c r="E151" i="9"/>
  <c r="B151" i="9"/>
  <c r="F151" i="9"/>
  <c r="H142" i="30"/>
  <c r="I142" i="30"/>
  <c r="E146" i="24"/>
  <c r="F146" i="24" s="1"/>
  <c r="B146" i="24"/>
  <c r="H151" i="7"/>
  <c r="I151" i="7"/>
  <c r="J151" i="7" s="1"/>
  <c r="J149" i="8"/>
  <c r="H150" i="11"/>
  <c r="I150" i="11"/>
  <c r="I143" i="28"/>
  <c r="J143" i="28" s="1"/>
  <c r="H143" i="28"/>
  <c r="H150" i="9"/>
  <c r="I150" i="9"/>
  <c r="E148" i="25"/>
  <c r="F148" i="25" s="1"/>
  <c r="B148" i="25"/>
  <c r="E152" i="7"/>
  <c r="F152" i="7"/>
  <c r="B152" i="7"/>
  <c r="H140" i="37"/>
  <c r="I140" i="37"/>
  <c r="F152" i="10"/>
  <c r="B152" i="10"/>
  <c r="H147" i="22"/>
  <c r="I147" i="22"/>
  <c r="D146" i="29"/>
  <c r="G145" i="29"/>
  <c r="J144" i="29"/>
  <c r="D61" i="42"/>
  <c r="E61" i="42" s="1"/>
  <c r="H60" i="42"/>
  <c r="G60" i="42"/>
  <c r="D71" i="8"/>
  <c r="E71" i="8" s="1"/>
  <c r="G70" i="8"/>
  <c r="H70" i="8"/>
  <c r="D62" i="40"/>
  <c r="E62" i="40" s="1"/>
  <c r="G62" i="39"/>
  <c r="I62" i="39" s="1"/>
  <c r="I72" i="10"/>
  <c r="I73" i="10" s="1"/>
  <c r="H73" i="10"/>
  <c r="F72" i="11"/>
  <c r="H140" i="41"/>
  <c r="I140" i="41"/>
  <c r="B141" i="43"/>
  <c r="F141" i="43"/>
  <c r="D69" i="22"/>
  <c r="B143" i="13"/>
  <c r="G66" i="24"/>
  <c r="I66" i="24" s="1"/>
  <c r="D62" i="41"/>
  <c r="E62" i="41" s="1"/>
  <c r="B141" i="41"/>
  <c r="F141" i="41"/>
  <c r="I140" i="43"/>
  <c r="H140" i="43"/>
  <c r="H142" i="13"/>
  <c r="I142" i="13"/>
  <c r="G61" i="40"/>
  <c r="I61" i="40" s="1"/>
  <c r="D71" i="4"/>
  <c r="E71" i="4" s="1"/>
  <c r="D63" i="13"/>
  <c r="E63" i="13" s="1"/>
  <c r="G68" i="22"/>
  <c r="E143" i="13"/>
  <c r="F143" i="13" s="1"/>
  <c r="F142" i="44"/>
  <c r="B142" i="44"/>
  <c r="I64" i="28"/>
  <c r="D71" i="3"/>
  <c r="E71" i="3" s="1"/>
  <c r="I61" i="38"/>
  <c r="H61" i="41"/>
  <c r="I61" i="41" s="1"/>
  <c r="G70" i="4"/>
  <c r="I70" i="4" s="1"/>
  <c r="F64" i="31"/>
  <c r="H64" i="31" s="1"/>
  <c r="B64" i="31"/>
  <c r="H68" i="22"/>
  <c r="I68" i="22" s="1"/>
  <c r="I141" i="44"/>
  <c r="H141" i="44"/>
  <c r="D71" i="5"/>
  <c r="E71" i="5" s="1"/>
  <c r="I67" i="23"/>
  <c r="D64" i="30"/>
  <c r="E64" i="30" s="1"/>
  <c r="F145" i="31"/>
  <c r="B145" i="31"/>
  <c r="D69" i="25"/>
  <c r="E69" i="25" s="1"/>
  <c r="D61" i="45"/>
  <c r="I144" i="31"/>
  <c r="H144" i="31"/>
  <c r="D62" i="38"/>
  <c r="E62" i="38" s="1"/>
  <c r="D62" i="43"/>
  <c r="E62" i="43" s="1"/>
  <c r="I140" i="45"/>
  <c r="H140" i="45"/>
  <c r="D67" i="24"/>
  <c r="D63" i="39"/>
  <c r="E63" i="39" s="1"/>
  <c r="H70" i="5"/>
  <c r="I68" i="25"/>
  <c r="D68" i="23"/>
  <c r="D65" i="28"/>
  <c r="E65" i="28" s="1"/>
  <c r="I63" i="30"/>
  <c r="D143" i="42"/>
  <c r="E143" i="42" s="1"/>
  <c r="G142" i="42"/>
  <c r="F141" i="45"/>
  <c r="B141" i="45"/>
  <c r="D62" i="37"/>
  <c r="G141" i="39"/>
  <c r="D142" i="39"/>
  <c r="E142" i="39"/>
  <c r="H66" i="29"/>
  <c r="B66" i="29"/>
  <c r="G66" i="29"/>
  <c r="F66" i="29"/>
  <c r="E66" i="27" l="1"/>
  <c r="F66" i="27" s="1"/>
  <c r="G66" i="27" s="1"/>
  <c r="H66" i="27"/>
  <c r="D72" i="6"/>
  <c r="G71" i="6"/>
  <c r="H71" i="6"/>
  <c r="D67" i="27"/>
  <c r="E67" i="27" s="1"/>
  <c r="B61" i="44"/>
  <c r="I66" i="29"/>
  <c r="I60" i="44"/>
  <c r="E61" i="44"/>
  <c r="F61" i="44" s="1"/>
  <c r="I65" i="27"/>
  <c r="D149" i="25"/>
  <c r="B149" i="25" s="1"/>
  <c r="G148" i="25"/>
  <c r="D147" i="24"/>
  <c r="G146" i="24"/>
  <c r="J142" i="30"/>
  <c r="G144" i="28"/>
  <c r="D145" i="28"/>
  <c r="B145" i="28" s="1"/>
  <c r="I150" i="6"/>
  <c r="H150" i="6"/>
  <c r="B151" i="8"/>
  <c r="E151" i="8"/>
  <c r="F151" i="8" s="1"/>
  <c r="D148" i="23"/>
  <c r="B148" i="23" s="1"/>
  <c r="G147" i="23"/>
  <c r="E148" i="23"/>
  <c r="F148" i="23" s="1"/>
  <c r="F151" i="6"/>
  <c r="B151" i="6"/>
  <c r="G151" i="9"/>
  <c r="D152" i="9"/>
  <c r="H150" i="8"/>
  <c r="I150" i="8"/>
  <c r="E152" i="11"/>
  <c r="B152" i="11"/>
  <c r="F152" i="11"/>
  <c r="G148" i="22"/>
  <c r="D149" i="22"/>
  <c r="E149" i="22"/>
  <c r="D142" i="37"/>
  <c r="G141" i="37"/>
  <c r="E142" i="37"/>
  <c r="B150" i="4"/>
  <c r="E150" i="4"/>
  <c r="F150" i="4" s="1"/>
  <c r="E144" i="30"/>
  <c r="G143" i="30"/>
  <c r="D144" i="30"/>
  <c r="H141" i="38"/>
  <c r="I141" i="38"/>
  <c r="H149" i="3"/>
  <c r="I149" i="3"/>
  <c r="J149" i="3" s="1"/>
  <c r="D153" i="10"/>
  <c r="B153" i="10" s="1"/>
  <c r="G152" i="10"/>
  <c r="G152" i="7"/>
  <c r="D153" i="7"/>
  <c r="D146" i="27"/>
  <c r="G145" i="27"/>
  <c r="I151" i="11"/>
  <c r="H151" i="11"/>
  <c r="E142" i="40"/>
  <c r="G141" i="40"/>
  <c r="D142" i="40"/>
  <c r="H149" i="4"/>
  <c r="I149" i="4"/>
  <c r="F142" i="38"/>
  <c r="B142" i="38"/>
  <c r="G149" i="5"/>
  <c r="D150" i="5"/>
  <c r="B150" i="5" s="1"/>
  <c r="E150" i="3"/>
  <c r="F150" i="3" s="1"/>
  <c r="B150" i="3"/>
  <c r="J144" i="31"/>
  <c r="I145" i="29"/>
  <c r="J145" i="29" s="1"/>
  <c r="H145" i="29"/>
  <c r="E146" i="29"/>
  <c r="F146" i="29" s="1"/>
  <c r="B146" i="29"/>
  <c r="D144" i="13"/>
  <c r="E144" i="13" s="1"/>
  <c r="G143" i="13"/>
  <c r="B68" i="23"/>
  <c r="B61" i="45"/>
  <c r="G141" i="41"/>
  <c r="D142" i="41"/>
  <c r="E142" i="41"/>
  <c r="B69" i="22"/>
  <c r="B62" i="38"/>
  <c r="F62" i="38"/>
  <c r="G62" i="38" s="1"/>
  <c r="G145" i="31"/>
  <c r="D146" i="31"/>
  <c r="B71" i="3"/>
  <c r="F71" i="3"/>
  <c r="G71" i="3" s="1"/>
  <c r="D142" i="43"/>
  <c r="G141" i="43"/>
  <c r="E142" i="43"/>
  <c r="F69" i="25"/>
  <c r="H69" i="25" s="1"/>
  <c r="G69" i="25"/>
  <c r="B69" i="25"/>
  <c r="D65" i="31"/>
  <c r="E65" i="31" s="1"/>
  <c r="B71" i="4"/>
  <c r="H71" i="4"/>
  <c r="F71" i="4"/>
  <c r="G71" i="4" s="1"/>
  <c r="F62" i="40"/>
  <c r="H62" i="40" s="1"/>
  <c r="B62" i="40"/>
  <c r="F71" i="8"/>
  <c r="G71" i="8" s="1"/>
  <c r="B71" i="8"/>
  <c r="B64" i="30"/>
  <c r="F64" i="30"/>
  <c r="G64" i="30"/>
  <c r="B62" i="37"/>
  <c r="F143" i="42"/>
  <c r="B143" i="42"/>
  <c r="I66" i="27"/>
  <c r="H142" i="42"/>
  <c r="I142" i="42"/>
  <c r="D67" i="29"/>
  <c r="E67" i="29" s="1"/>
  <c r="G141" i="45"/>
  <c r="D142" i="45"/>
  <c r="E142" i="45" s="1"/>
  <c r="B63" i="39"/>
  <c r="F63" i="39"/>
  <c r="H63" i="39" s="1"/>
  <c r="F62" i="43"/>
  <c r="G62" i="43" s="1"/>
  <c r="B62" i="43"/>
  <c r="B63" i="13"/>
  <c r="F63" i="13"/>
  <c r="H63" i="13" s="1"/>
  <c r="I60" i="42"/>
  <c r="F142" i="39"/>
  <c r="B142" i="39"/>
  <c r="F65" i="28"/>
  <c r="B65" i="28"/>
  <c r="B67" i="24"/>
  <c r="F71" i="5"/>
  <c r="H71" i="5" s="1"/>
  <c r="B71" i="5"/>
  <c r="D143" i="44"/>
  <c r="E143" i="44" s="1"/>
  <c r="G142" i="44"/>
  <c r="F67" i="27"/>
  <c r="H67" i="27" s="1"/>
  <c r="B67" i="27"/>
  <c r="H141" i="39"/>
  <c r="I141" i="39"/>
  <c r="E62" i="37"/>
  <c r="F62" i="37" s="1"/>
  <c r="E68" i="23"/>
  <c r="F68" i="23" s="1"/>
  <c r="E67" i="24"/>
  <c r="F67" i="24" s="1"/>
  <c r="H67" i="24" s="1"/>
  <c r="E61" i="45"/>
  <c r="F61" i="45" s="1"/>
  <c r="G64" i="31"/>
  <c r="I64" i="31" s="1"/>
  <c r="B62" i="41"/>
  <c r="F62" i="41"/>
  <c r="H62" i="41" s="1"/>
  <c r="G62" i="41"/>
  <c r="E69" i="22"/>
  <c r="F69" i="22" s="1"/>
  <c r="G72" i="11"/>
  <c r="G73" i="11" s="1"/>
  <c r="H72" i="11"/>
  <c r="I70" i="8"/>
  <c r="F61" i="42"/>
  <c r="H61" i="42" s="1"/>
  <c r="B61" i="42"/>
  <c r="I71" i="6" l="1"/>
  <c r="G63" i="13"/>
  <c r="H62" i="43"/>
  <c r="G63" i="39"/>
  <c r="I63" i="39" s="1"/>
  <c r="D62" i="44"/>
  <c r="H61" i="44"/>
  <c r="G61" i="44"/>
  <c r="I62" i="41"/>
  <c r="G62" i="40"/>
  <c r="I62" i="40" s="1"/>
  <c r="I71" i="4"/>
  <c r="B72" i="6"/>
  <c r="G71" i="5"/>
  <c r="E72" i="6"/>
  <c r="E73" i="6" s="1"/>
  <c r="G150" i="3"/>
  <c r="D151" i="3"/>
  <c r="B151" i="3" s="1"/>
  <c r="B142" i="40"/>
  <c r="F142" i="40"/>
  <c r="I152" i="7"/>
  <c r="J152" i="7" s="1"/>
  <c r="H152" i="7"/>
  <c r="B144" i="30"/>
  <c r="F144" i="30"/>
  <c r="E152" i="9"/>
  <c r="F152" i="9" s="1"/>
  <c r="B152" i="9"/>
  <c r="G148" i="23"/>
  <c r="D149" i="23"/>
  <c r="E149" i="23" s="1"/>
  <c r="E147" i="24"/>
  <c r="F147" i="24" s="1"/>
  <c r="B147" i="24"/>
  <c r="E150" i="5"/>
  <c r="F150" i="5" s="1"/>
  <c r="E143" i="38"/>
  <c r="D143" i="38"/>
  <c r="G142" i="38"/>
  <c r="I141" i="40"/>
  <c r="H141" i="40"/>
  <c r="H145" i="27"/>
  <c r="I145" i="27"/>
  <c r="J145" i="27" s="1"/>
  <c r="E153" i="10"/>
  <c r="F153" i="10" s="1"/>
  <c r="I143" i="30"/>
  <c r="J143" i="30" s="1"/>
  <c r="H143" i="30"/>
  <c r="B149" i="22"/>
  <c r="F149" i="22"/>
  <c r="H151" i="9"/>
  <c r="I151" i="9"/>
  <c r="H147" i="23"/>
  <c r="I147" i="23"/>
  <c r="H144" i="28"/>
  <c r="I144" i="28"/>
  <c r="E149" i="25"/>
  <c r="F149" i="25" s="1"/>
  <c r="J149" i="4"/>
  <c r="E146" i="27"/>
  <c r="F146" i="27" s="1"/>
  <c r="B146" i="27"/>
  <c r="H152" i="10"/>
  <c r="I152" i="10"/>
  <c r="I141" i="37"/>
  <c r="H141" i="37"/>
  <c r="I148" i="22"/>
  <c r="H148" i="22"/>
  <c r="J150" i="8"/>
  <c r="J150" i="6"/>
  <c r="I148" i="25"/>
  <c r="H148" i="25"/>
  <c r="H149" i="5"/>
  <c r="I149" i="5"/>
  <c r="J149" i="5" s="1"/>
  <c r="E153" i="7"/>
  <c r="F153" i="7" s="1"/>
  <c r="B153" i="7"/>
  <c r="G150" i="4"/>
  <c r="D151" i="4"/>
  <c r="B142" i="37"/>
  <c r="F142" i="37"/>
  <c r="G152" i="11"/>
  <c r="D153" i="11"/>
  <c r="E153" i="11" s="1"/>
  <c r="G151" i="6"/>
  <c r="D152" i="6"/>
  <c r="B152" i="6" s="1"/>
  <c r="D152" i="8"/>
  <c r="G151" i="8"/>
  <c r="E145" i="28"/>
  <c r="F145" i="28" s="1"/>
  <c r="I146" i="24"/>
  <c r="H146" i="24"/>
  <c r="G146" i="29"/>
  <c r="D147" i="29"/>
  <c r="D69" i="23"/>
  <c r="E69" i="23" s="1"/>
  <c r="H68" i="23"/>
  <c r="G68" i="23"/>
  <c r="D63" i="37"/>
  <c r="G62" i="37"/>
  <c r="H62" i="37"/>
  <c r="D70" i="22"/>
  <c r="E70" i="22" s="1"/>
  <c r="G69" i="22"/>
  <c r="H69" i="22"/>
  <c r="D62" i="45"/>
  <c r="E62" i="45" s="1"/>
  <c r="H61" i="45"/>
  <c r="G61" i="45"/>
  <c r="D66" i="28"/>
  <c r="E66" i="28" s="1"/>
  <c r="F142" i="41"/>
  <c r="B142" i="41"/>
  <c r="I63" i="13"/>
  <c r="D65" i="30"/>
  <c r="E65" i="30" s="1"/>
  <c r="I69" i="25"/>
  <c r="I141" i="41"/>
  <c r="H141" i="41"/>
  <c r="D68" i="24"/>
  <c r="B67" i="29"/>
  <c r="F67" i="29"/>
  <c r="H67" i="29" s="1"/>
  <c r="H64" i="30"/>
  <c r="I64" i="30" s="1"/>
  <c r="B146" i="31"/>
  <c r="I142" i="44"/>
  <c r="H142" i="44"/>
  <c r="G67" i="24"/>
  <c r="I67" i="24" s="1"/>
  <c r="D63" i="40"/>
  <c r="E63" i="40" s="1"/>
  <c r="D70" i="25"/>
  <c r="E70" i="25" s="1"/>
  <c r="H141" i="43"/>
  <c r="I141" i="43"/>
  <c r="H145" i="31"/>
  <c r="I145" i="31"/>
  <c r="H143" i="13"/>
  <c r="I143" i="13"/>
  <c r="D68" i="27"/>
  <c r="E68" i="27" s="1"/>
  <c r="D143" i="39"/>
  <c r="E143" i="39"/>
  <c r="G142" i="39"/>
  <c r="I62" i="43"/>
  <c r="B142" i="45"/>
  <c r="F142" i="45"/>
  <c r="G143" i="42"/>
  <c r="D144" i="42"/>
  <c r="E144" i="42" s="1"/>
  <c r="H71" i="8"/>
  <c r="I71" i="8" s="1"/>
  <c r="F142" i="43"/>
  <c r="B142" i="43"/>
  <c r="E146" i="31"/>
  <c r="F146" i="31" s="1"/>
  <c r="G61" i="42"/>
  <c r="I61" i="42" s="1"/>
  <c r="D63" i="41"/>
  <c r="E63" i="41" s="1"/>
  <c r="H65" i="28"/>
  <c r="H141" i="45"/>
  <c r="I141" i="45"/>
  <c r="H71" i="3"/>
  <c r="I71" i="3" s="1"/>
  <c r="H62" i="38"/>
  <c r="I62" i="38" s="1"/>
  <c r="B144" i="13"/>
  <c r="F144" i="13"/>
  <c r="B143" i="44"/>
  <c r="F143" i="44"/>
  <c r="D62" i="42"/>
  <c r="E62" i="42" s="1"/>
  <c r="D63" i="43"/>
  <c r="E63" i="43" s="1"/>
  <c r="I72" i="11"/>
  <c r="I73" i="11" s="1"/>
  <c r="H73" i="11"/>
  <c r="G67" i="27"/>
  <c r="I67" i="27" s="1"/>
  <c r="D72" i="5"/>
  <c r="E72" i="5" s="1"/>
  <c r="E73" i="5" s="1"/>
  <c r="G65" i="28"/>
  <c r="D64" i="13"/>
  <c r="E64" i="13" s="1"/>
  <c r="D64" i="39"/>
  <c r="D72" i="8"/>
  <c r="E72" i="8" s="1"/>
  <c r="E73" i="8" s="1"/>
  <c r="D72" i="4"/>
  <c r="E72" i="4" s="1"/>
  <c r="E73" i="4" s="1"/>
  <c r="B65" i="31"/>
  <c r="F65" i="31"/>
  <c r="H65" i="31" s="1"/>
  <c r="D72" i="3"/>
  <c r="D63" i="38"/>
  <c r="I61" i="45" l="1"/>
  <c r="I61" i="44"/>
  <c r="I68" i="23"/>
  <c r="F72" i="6"/>
  <c r="B62" i="44"/>
  <c r="I65" i="28"/>
  <c r="I69" i="22"/>
  <c r="E62" i="44"/>
  <c r="F62" i="44" s="1"/>
  <c r="D147" i="27"/>
  <c r="G146" i="27"/>
  <c r="D154" i="7"/>
  <c r="G153" i="7"/>
  <c r="G147" i="24"/>
  <c r="D148" i="24"/>
  <c r="G152" i="9"/>
  <c r="D153" i="9"/>
  <c r="B152" i="8"/>
  <c r="J152" i="10"/>
  <c r="D146" i="28"/>
  <c r="B146" i="28" s="1"/>
  <c r="G145" i="28"/>
  <c r="E146" i="28"/>
  <c r="F146" i="28" s="1"/>
  <c r="E152" i="6"/>
  <c r="F152" i="6" s="1"/>
  <c r="B153" i="11"/>
  <c r="F153" i="11"/>
  <c r="E151" i="4"/>
  <c r="F151" i="4"/>
  <c r="B151" i="4"/>
  <c r="D150" i="22"/>
  <c r="B150" i="22" s="1"/>
  <c r="G149" i="22"/>
  <c r="G153" i="10"/>
  <c r="D154" i="10"/>
  <c r="G150" i="5"/>
  <c r="D151" i="5"/>
  <c r="E151" i="3"/>
  <c r="F151" i="3" s="1"/>
  <c r="I151" i="8"/>
  <c r="J151" i="8" s="1"/>
  <c r="H151" i="8"/>
  <c r="I152" i="11"/>
  <c r="H152" i="11"/>
  <c r="I150" i="4"/>
  <c r="J150" i="4" s="1"/>
  <c r="H150" i="4"/>
  <c r="G149" i="25"/>
  <c r="D150" i="25"/>
  <c r="H142" i="38"/>
  <c r="I142" i="38"/>
  <c r="B149" i="23"/>
  <c r="F149" i="23"/>
  <c r="E152" i="8"/>
  <c r="F152" i="8" s="1"/>
  <c r="H151" i="6"/>
  <c r="I151" i="6"/>
  <c r="J151" i="6" s="1"/>
  <c r="G142" i="37"/>
  <c r="D143" i="37"/>
  <c r="E143" i="37"/>
  <c r="J144" i="28"/>
  <c r="B143" i="38"/>
  <c r="F143" i="38"/>
  <c r="H148" i="23"/>
  <c r="I148" i="23"/>
  <c r="G144" i="30"/>
  <c r="E145" i="30"/>
  <c r="D145" i="30"/>
  <c r="G142" i="40"/>
  <c r="D143" i="40"/>
  <c r="E143" i="40"/>
  <c r="I150" i="3"/>
  <c r="H150" i="3"/>
  <c r="E147" i="29"/>
  <c r="F147" i="29"/>
  <c r="B147" i="29"/>
  <c r="I146" i="29"/>
  <c r="H146" i="29"/>
  <c r="G146" i="31"/>
  <c r="D147" i="31"/>
  <c r="E147" i="31" s="1"/>
  <c r="F63" i="43"/>
  <c r="G63" i="43" s="1"/>
  <c r="B63" i="43"/>
  <c r="F62" i="42"/>
  <c r="G62" i="42" s="1"/>
  <c r="B62" i="42"/>
  <c r="I143" i="42"/>
  <c r="H143" i="42"/>
  <c r="B68" i="24"/>
  <c r="I62" i="37"/>
  <c r="B72" i="4"/>
  <c r="F72" i="4"/>
  <c r="H72" i="4" s="1"/>
  <c r="B64" i="39"/>
  <c r="G143" i="44"/>
  <c r="D144" i="44"/>
  <c r="E144" i="44" s="1"/>
  <c r="B143" i="39"/>
  <c r="F143" i="39"/>
  <c r="E68" i="24"/>
  <c r="F68" i="24" s="1"/>
  <c r="F65" i="30"/>
  <c r="H65" i="30" s="1"/>
  <c r="B65" i="30"/>
  <c r="G142" i="41"/>
  <c r="D143" i="41"/>
  <c r="E143" i="41"/>
  <c r="E64" i="39"/>
  <c r="F64" i="39" s="1"/>
  <c r="J145" i="31"/>
  <c r="B63" i="37"/>
  <c r="B72" i="3"/>
  <c r="B63" i="41"/>
  <c r="F63" i="41"/>
  <c r="G63" i="41" s="1"/>
  <c r="F68" i="27"/>
  <c r="H68" i="27" s="1"/>
  <c r="B68" i="27"/>
  <c r="H63" i="40"/>
  <c r="B63" i="40"/>
  <c r="F63" i="40"/>
  <c r="F62" i="45"/>
  <c r="G62" i="45" s="1"/>
  <c r="B62" i="45"/>
  <c r="E63" i="37"/>
  <c r="F63" i="37" s="1"/>
  <c r="F69" i="23"/>
  <c r="G69" i="23" s="1"/>
  <c r="B69" i="23"/>
  <c r="F64" i="13"/>
  <c r="H64" i="13" s="1"/>
  <c r="B64" i="13"/>
  <c r="G142" i="45"/>
  <c r="D143" i="45"/>
  <c r="E143" i="45" s="1"/>
  <c r="D68" i="29"/>
  <c r="E68" i="29" s="1"/>
  <c r="B72" i="8"/>
  <c r="F72" i="8"/>
  <c r="H72" i="8" s="1"/>
  <c r="D145" i="13"/>
  <c r="G144" i="13"/>
  <c r="G142" i="43"/>
  <c r="D143" i="43"/>
  <c r="E143" i="43"/>
  <c r="B63" i="38"/>
  <c r="D66" i="31"/>
  <c r="E66" i="31" s="1"/>
  <c r="E63" i="38"/>
  <c r="F63" i="38" s="1"/>
  <c r="E72" i="3"/>
  <c r="E73" i="3" s="1"/>
  <c r="G65" i="31"/>
  <c r="I65" i="31" s="1"/>
  <c r="B72" i="5"/>
  <c r="F72" i="5"/>
  <c r="G72" i="5" s="1"/>
  <c r="G73" i="5" s="1"/>
  <c r="G67" i="29"/>
  <c r="I67" i="29" s="1"/>
  <c r="F144" i="42"/>
  <c r="B144" i="42"/>
  <c r="I142" i="39"/>
  <c r="H142" i="39"/>
  <c r="B70" i="25"/>
  <c r="F70" i="25"/>
  <c r="H70" i="25" s="1"/>
  <c r="F66" i="28"/>
  <c r="G66" i="28" s="1"/>
  <c r="H66" i="28"/>
  <c r="B66" i="28"/>
  <c r="B70" i="22"/>
  <c r="F70" i="22"/>
  <c r="H62" i="42" l="1"/>
  <c r="H62" i="45"/>
  <c r="G72" i="4"/>
  <c r="G73" i="4" s="1"/>
  <c r="D63" i="44"/>
  <c r="G62" i="44"/>
  <c r="H62" i="44"/>
  <c r="I62" i="44" s="1"/>
  <c r="G68" i="27"/>
  <c r="H72" i="6"/>
  <c r="G72" i="6"/>
  <c r="G73" i="6" s="1"/>
  <c r="G72" i="8"/>
  <c r="G73" i="8" s="1"/>
  <c r="G64" i="13"/>
  <c r="I64" i="13" s="1"/>
  <c r="H72" i="5"/>
  <c r="H73" i="5" s="1"/>
  <c r="D153" i="8"/>
  <c r="E153" i="8" s="1"/>
  <c r="G152" i="8"/>
  <c r="I142" i="40"/>
  <c r="H142" i="40"/>
  <c r="I149" i="25"/>
  <c r="H149" i="25"/>
  <c r="E151" i="5"/>
  <c r="F151" i="5" s="1"/>
  <c r="B151" i="5"/>
  <c r="H149" i="22"/>
  <c r="I149" i="22"/>
  <c r="D152" i="4"/>
  <c r="G151" i="4"/>
  <c r="G152" i="6"/>
  <c r="D153" i="6"/>
  <c r="B153" i="6" s="1"/>
  <c r="E153" i="6"/>
  <c r="F153" i="6" s="1"/>
  <c r="E153" i="9"/>
  <c r="B153" i="9"/>
  <c r="F153" i="9"/>
  <c r="I153" i="7"/>
  <c r="H153" i="7"/>
  <c r="J150" i="3"/>
  <c r="B145" i="30"/>
  <c r="F145" i="30"/>
  <c r="H150" i="5"/>
  <c r="I150" i="5"/>
  <c r="J150" i="5" s="1"/>
  <c r="E150" i="22"/>
  <c r="F150" i="22" s="1"/>
  <c r="D147" i="28"/>
  <c r="B147" i="28" s="1"/>
  <c r="G146" i="28"/>
  <c r="I152" i="9"/>
  <c r="H152" i="9"/>
  <c r="E154" i="7"/>
  <c r="E155" i="7" s="1"/>
  <c r="B154" i="7"/>
  <c r="F154" i="7"/>
  <c r="G154" i="7" s="1"/>
  <c r="E144" i="38"/>
  <c r="G143" i="38"/>
  <c r="D144" i="38"/>
  <c r="F143" i="37"/>
  <c r="B143" i="37"/>
  <c r="E154" i="10"/>
  <c r="E155" i="10" s="1"/>
  <c r="F154" i="10"/>
  <c r="G154" i="10" s="1"/>
  <c r="B154" i="10"/>
  <c r="G153" i="11"/>
  <c r="D154" i="11"/>
  <c r="E154" i="11"/>
  <c r="E155" i="11" s="1"/>
  <c r="I145" i="28"/>
  <c r="H145" i="28"/>
  <c r="E148" i="24"/>
  <c r="F148" i="24"/>
  <c r="B148" i="24"/>
  <c r="H146" i="27"/>
  <c r="I146" i="27"/>
  <c r="F143" i="40"/>
  <c r="B143" i="40"/>
  <c r="H144" i="30"/>
  <c r="I144" i="30"/>
  <c r="H142" i="37"/>
  <c r="I142" i="37"/>
  <c r="D150" i="23"/>
  <c r="B150" i="23" s="1"/>
  <c r="G149" i="23"/>
  <c r="E150" i="25"/>
  <c r="F150" i="25"/>
  <c r="B150" i="25"/>
  <c r="D152" i="3"/>
  <c r="G151" i="3"/>
  <c r="I153" i="10"/>
  <c r="H153" i="10"/>
  <c r="I147" i="24"/>
  <c r="H147" i="24"/>
  <c r="E147" i="27"/>
  <c r="F147" i="27" s="1"/>
  <c r="B147" i="27"/>
  <c r="G147" i="29"/>
  <c r="D148" i="29"/>
  <c r="E148" i="29" s="1"/>
  <c r="J146" i="29"/>
  <c r="I72" i="8"/>
  <c r="I73" i="8" s="1"/>
  <c r="H73" i="8"/>
  <c r="D65" i="39"/>
  <c r="E65" i="39" s="1"/>
  <c r="G64" i="39"/>
  <c r="H64" i="39"/>
  <c r="D64" i="37"/>
  <c r="E64" i="37" s="1"/>
  <c r="H63" i="37"/>
  <c r="G63" i="37"/>
  <c r="D69" i="24"/>
  <c r="H68" i="24"/>
  <c r="G68" i="24"/>
  <c r="D64" i="38"/>
  <c r="E64" i="38" s="1"/>
  <c r="H63" i="38"/>
  <c r="G63" i="38"/>
  <c r="D71" i="25"/>
  <c r="E71" i="25" s="1"/>
  <c r="D64" i="40"/>
  <c r="E64" i="40" s="1"/>
  <c r="D64" i="41"/>
  <c r="E64" i="41" s="1"/>
  <c r="F72" i="3"/>
  <c r="I144" i="13"/>
  <c r="H144" i="13"/>
  <c r="B68" i="29"/>
  <c r="F68" i="29"/>
  <c r="G68" i="29" s="1"/>
  <c r="D70" i="23"/>
  <c r="E70" i="23" s="1"/>
  <c r="D66" i="30"/>
  <c r="E66" i="30" s="1"/>
  <c r="E144" i="39"/>
  <c r="G143" i="39"/>
  <c r="D144" i="39"/>
  <c r="D64" i="43"/>
  <c r="E64" i="43" s="1"/>
  <c r="B145" i="13"/>
  <c r="D67" i="28"/>
  <c r="E67" i="28" s="1"/>
  <c r="B143" i="43"/>
  <c r="F143" i="43"/>
  <c r="E145" i="13"/>
  <c r="F145" i="13" s="1"/>
  <c r="B143" i="41"/>
  <c r="F143" i="41"/>
  <c r="F144" i="44"/>
  <c r="B144" i="44"/>
  <c r="I62" i="42"/>
  <c r="D71" i="22"/>
  <c r="E71" i="22" s="1"/>
  <c r="I62" i="45"/>
  <c r="I68" i="27"/>
  <c r="I142" i="41"/>
  <c r="H142" i="41"/>
  <c r="H143" i="44"/>
  <c r="I143" i="44"/>
  <c r="I72" i="4"/>
  <c r="I73" i="4" s="1"/>
  <c r="H73" i="4"/>
  <c r="D63" i="42"/>
  <c r="E63" i="42" s="1"/>
  <c r="I66" i="28"/>
  <c r="H142" i="43"/>
  <c r="I142" i="43"/>
  <c r="H70" i="22"/>
  <c r="D145" i="42"/>
  <c r="E145" i="42" s="1"/>
  <c r="G144" i="42"/>
  <c r="B143" i="45"/>
  <c r="F143" i="45"/>
  <c r="D63" i="45"/>
  <c r="E63" i="45" s="1"/>
  <c r="D69" i="27"/>
  <c r="G65" i="30"/>
  <c r="I65" i="30" s="1"/>
  <c r="H63" i="43"/>
  <c r="I63" i="43" s="1"/>
  <c r="B147" i="31"/>
  <c r="F147" i="31"/>
  <c r="B66" i="31"/>
  <c r="F66" i="31"/>
  <c r="H66" i="31" s="1"/>
  <c r="G70" i="22"/>
  <c r="G70" i="25"/>
  <c r="I70" i="25" s="1"/>
  <c r="H142" i="45"/>
  <c r="I142" i="45"/>
  <c r="D65" i="13"/>
  <c r="H69" i="23"/>
  <c r="I69" i="23" s="1"/>
  <c r="G63" i="40"/>
  <c r="I63" i="40" s="1"/>
  <c r="H63" i="41"/>
  <c r="I63" i="41" s="1"/>
  <c r="H146" i="31"/>
  <c r="I146" i="31"/>
  <c r="I70" i="22" l="1"/>
  <c r="I63" i="38"/>
  <c r="I68" i="24"/>
  <c r="I72" i="6"/>
  <c r="I73" i="6" s="1"/>
  <c r="H73" i="6"/>
  <c r="I64" i="39"/>
  <c r="E63" i="44"/>
  <c r="F63" i="44"/>
  <c r="G63" i="44" s="1"/>
  <c r="B63" i="44"/>
  <c r="G151" i="5"/>
  <c r="D152" i="5"/>
  <c r="G147" i="27"/>
  <c r="D148" i="27"/>
  <c r="B148" i="27" s="1"/>
  <c r="H151" i="3"/>
  <c r="I151" i="3"/>
  <c r="J145" i="28"/>
  <c r="G143" i="37"/>
  <c r="D144" i="37"/>
  <c r="E144" i="37"/>
  <c r="I154" i="7"/>
  <c r="J154" i="7" s="1"/>
  <c r="H154" i="7"/>
  <c r="H155" i="7" s="1"/>
  <c r="G150" i="22"/>
  <c r="D151" i="22"/>
  <c r="B151" i="22" s="1"/>
  <c r="E151" i="22"/>
  <c r="F151" i="22" s="1"/>
  <c r="D154" i="9"/>
  <c r="G153" i="9"/>
  <c r="E154" i="9"/>
  <c r="E155" i="9" s="1"/>
  <c r="E152" i="3"/>
  <c r="F152" i="3" s="1"/>
  <c r="B152" i="3"/>
  <c r="E150" i="23"/>
  <c r="F150" i="23" s="1"/>
  <c r="G143" i="40"/>
  <c r="D144" i="40"/>
  <c r="E144" i="40"/>
  <c r="G148" i="24"/>
  <c r="D149" i="24"/>
  <c r="I154" i="10"/>
  <c r="J154" i="10" s="1"/>
  <c r="H154" i="10"/>
  <c r="H155" i="10" s="1"/>
  <c r="B144" i="38"/>
  <c r="F144" i="38"/>
  <c r="E147" i="28"/>
  <c r="F147" i="28" s="1"/>
  <c r="I152" i="6"/>
  <c r="H152" i="6"/>
  <c r="I149" i="23"/>
  <c r="H149" i="23"/>
  <c r="J144" i="30"/>
  <c r="J146" i="27"/>
  <c r="B154" i="11"/>
  <c r="F154" i="11"/>
  <c r="G154" i="11" s="1"/>
  <c r="H143" i="38"/>
  <c r="I143" i="38"/>
  <c r="H146" i="28"/>
  <c r="I146" i="28"/>
  <c r="J146" i="28" s="1"/>
  <c r="H151" i="4"/>
  <c r="I151" i="4"/>
  <c r="J151" i="4" s="1"/>
  <c r="I152" i="8"/>
  <c r="H152" i="8"/>
  <c r="J153" i="10"/>
  <c r="I155" i="10"/>
  <c r="D151" i="25"/>
  <c r="G150" i="25"/>
  <c r="I153" i="11"/>
  <c r="H153" i="11"/>
  <c r="D146" i="30"/>
  <c r="B146" i="30" s="1"/>
  <c r="G145" i="30"/>
  <c r="J153" i="7"/>
  <c r="I155" i="7"/>
  <c r="G153" i="6"/>
  <c r="D154" i="6"/>
  <c r="E154" i="6" s="1"/>
  <c r="E155" i="6" s="1"/>
  <c r="E152" i="4"/>
  <c r="F152" i="4" s="1"/>
  <c r="B152" i="4"/>
  <c r="F153" i="8"/>
  <c r="B153" i="8"/>
  <c r="B148" i="29"/>
  <c r="F148" i="29"/>
  <c r="H147" i="29"/>
  <c r="I147" i="29"/>
  <c r="J147" i="29" s="1"/>
  <c r="D146" i="13"/>
  <c r="E146" i="13" s="1"/>
  <c r="G145" i="13"/>
  <c r="B69" i="27"/>
  <c r="F145" i="42"/>
  <c r="B145" i="42"/>
  <c r="B69" i="24"/>
  <c r="B63" i="42"/>
  <c r="F63" i="42"/>
  <c r="H63" i="42" s="1"/>
  <c r="E69" i="24"/>
  <c r="F69" i="24" s="1"/>
  <c r="F71" i="22"/>
  <c r="H71" i="22" s="1"/>
  <c r="B71" i="22"/>
  <c r="G143" i="41"/>
  <c r="D144" i="41"/>
  <c r="E144" i="41"/>
  <c r="F67" i="28"/>
  <c r="B67" i="28"/>
  <c r="F66" i="30"/>
  <c r="B66" i="30"/>
  <c r="H66" i="30"/>
  <c r="G147" i="31"/>
  <c r="D148" i="31"/>
  <c r="E148" i="31" s="1"/>
  <c r="D144" i="45"/>
  <c r="E144" i="45" s="1"/>
  <c r="G143" i="45"/>
  <c r="G72" i="3"/>
  <c r="G73" i="3" s="1"/>
  <c r="H72" i="3"/>
  <c r="B63" i="45"/>
  <c r="F63" i="45"/>
  <c r="H63" i="45" s="1"/>
  <c r="J146" i="31"/>
  <c r="F70" i="23"/>
  <c r="H70" i="23" s="1"/>
  <c r="B70" i="23"/>
  <c r="F65" i="39"/>
  <c r="B65" i="39"/>
  <c r="B64" i="43"/>
  <c r="F64" i="43"/>
  <c r="H64" i="43" s="1"/>
  <c r="D69" i="29"/>
  <c r="E69" i="29" s="1"/>
  <c r="B64" i="41"/>
  <c r="F64" i="41"/>
  <c r="G64" i="41" s="1"/>
  <c r="F71" i="25"/>
  <c r="G71" i="25" s="1"/>
  <c r="B71" i="25"/>
  <c r="F64" i="38"/>
  <c r="G64" i="38" s="1"/>
  <c r="B64" i="38"/>
  <c r="H64" i="38"/>
  <c r="B65" i="13"/>
  <c r="D144" i="43"/>
  <c r="G143" i="43"/>
  <c r="E144" i="43"/>
  <c r="F144" i="39"/>
  <c r="B144" i="39"/>
  <c r="H68" i="29"/>
  <c r="I68" i="29" s="1"/>
  <c r="I63" i="37"/>
  <c r="D67" i="31"/>
  <c r="E67" i="31" s="1"/>
  <c r="E65" i="13"/>
  <c r="F65" i="13" s="1"/>
  <c r="G66" i="31"/>
  <c r="I66" i="31" s="1"/>
  <c r="E69" i="27"/>
  <c r="F69" i="27" s="1"/>
  <c r="I144" i="42"/>
  <c r="H144" i="42"/>
  <c r="D145" i="44"/>
  <c r="G144" i="44"/>
  <c r="I143" i="39"/>
  <c r="H143" i="39"/>
  <c r="F64" i="40"/>
  <c r="B64" i="40"/>
  <c r="B64" i="37"/>
  <c r="F64" i="37"/>
  <c r="H64" i="37" s="1"/>
  <c r="I64" i="38" l="1"/>
  <c r="G70" i="23"/>
  <c r="I70" i="23" s="1"/>
  <c r="G64" i="37"/>
  <c r="I64" i="37" s="1"/>
  <c r="H71" i="25"/>
  <c r="I71" i="25" s="1"/>
  <c r="H63" i="44"/>
  <c r="I63" i="44" s="1"/>
  <c r="D64" i="44"/>
  <c r="G152" i="3"/>
  <c r="D153" i="3"/>
  <c r="B151" i="25"/>
  <c r="J152" i="8"/>
  <c r="G144" i="38"/>
  <c r="D145" i="38"/>
  <c r="E149" i="24"/>
  <c r="B149" i="24"/>
  <c r="F149" i="24"/>
  <c r="H143" i="40"/>
  <c r="I143" i="40"/>
  <c r="G151" i="22"/>
  <c r="D152" i="22"/>
  <c r="J155" i="7"/>
  <c r="G153" i="8"/>
  <c r="D154" i="8"/>
  <c r="B154" i="8" s="1"/>
  <c r="B154" i="6"/>
  <c r="F154" i="6"/>
  <c r="G154" i="6" s="1"/>
  <c r="E146" i="30"/>
  <c r="F146" i="30" s="1"/>
  <c r="H148" i="24"/>
  <c r="I148" i="24"/>
  <c r="D151" i="23"/>
  <c r="G150" i="23"/>
  <c r="J151" i="3"/>
  <c r="H147" i="27"/>
  <c r="I147" i="27"/>
  <c r="I153" i="6"/>
  <c r="J153" i="6" s="1"/>
  <c r="H153" i="6"/>
  <c r="H145" i="30"/>
  <c r="I145" i="30"/>
  <c r="I150" i="25"/>
  <c r="H150" i="25"/>
  <c r="J152" i="6"/>
  <c r="I153" i="9"/>
  <c r="H153" i="9"/>
  <c r="I150" i="22"/>
  <c r="H150" i="22"/>
  <c r="F144" i="37"/>
  <c r="B144" i="37"/>
  <c r="E152" i="5"/>
  <c r="F152" i="5" s="1"/>
  <c r="B152" i="5"/>
  <c r="G152" i="4"/>
  <c r="D153" i="4"/>
  <c r="E151" i="25"/>
  <c r="F151" i="25" s="1"/>
  <c r="H154" i="11"/>
  <c r="H155" i="11" s="1"/>
  <c r="I154" i="11"/>
  <c r="I155" i="11" s="1"/>
  <c r="G147" i="28"/>
  <c r="D148" i="28"/>
  <c r="J155" i="10"/>
  <c r="B144" i="40"/>
  <c r="F144" i="40"/>
  <c r="B154" i="9"/>
  <c r="F154" i="9"/>
  <c r="G154" i="9" s="1"/>
  <c r="H143" i="37"/>
  <c r="I143" i="37"/>
  <c r="E148" i="27"/>
  <c r="F148" i="27" s="1"/>
  <c r="H151" i="5"/>
  <c r="I151" i="5"/>
  <c r="J151" i="5" s="1"/>
  <c r="G148" i="29"/>
  <c r="D149" i="29"/>
  <c r="B149" i="29" s="1"/>
  <c r="D70" i="27"/>
  <c r="E70" i="27" s="1"/>
  <c r="G69" i="27"/>
  <c r="H69" i="27"/>
  <c r="D66" i="13"/>
  <c r="E66" i="13" s="1"/>
  <c r="H65" i="13"/>
  <c r="G65" i="13"/>
  <c r="D70" i="24"/>
  <c r="E70" i="24" s="1"/>
  <c r="G69" i="24"/>
  <c r="H69" i="24"/>
  <c r="I69" i="24" s="1"/>
  <c r="B145" i="44"/>
  <c r="D65" i="43"/>
  <c r="E65" i="43" s="1"/>
  <c r="D66" i="39"/>
  <c r="E66" i="39" s="1"/>
  <c r="H147" i="31"/>
  <c r="I147" i="31"/>
  <c r="D68" i="28"/>
  <c r="E68" i="28" s="1"/>
  <c r="H64" i="41"/>
  <c r="I64" i="41" s="1"/>
  <c r="G63" i="42"/>
  <c r="I63" i="42" s="1"/>
  <c r="G145" i="42"/>
  <c r="D146" i="42"/>
  <c r="E146" i="42" s="1"/>
  <c r="I145" i="13"/>
  <c r="H145" i="13"/>
  <c r="F144" i="41"/>
  <c r="B144" i="41"/>
  <c r="B67" i="31"/>
  <c r="F67" i="31"/>
  <c r="G67" i="31" s="1"/>
  <c r="I72" i="3"/>
  <c r="I73" i="3" s="1"/>
  <c r="H73" i="3"/>
  <c r="D67" i="30"/>
  <c r="E67" i="30" s="1"/>
  <c r="I143" i="41"/>
  <c r="H143" i="41"/>
  <c r="D64" i="42"/>
  <c r="E64" i="42" s="1"/>
  <c r="F146" i="13"/>
  <c r="B146" i="13"/>
  <c r="D65" i="40"/>
  <c r="E65" i="40" s="1"/>
  <c r="D65" i="37"/>
  <c r="E65" i="37" s="1"/>
  <c r="I143" i="43"/>
  <c r="H143" i="43"/>
  <c r="D65" i="38"/>
  <c r="E65" i="38" s="1"/>
  <c r="D71" i="23"/>
  <c r="E71" i="23" s="1"/>
  <c r="H143" i="45"/>
  <c r="I143" i="45"/>
  <c r="G66" i="30"/>
  <c r="I66" i="30" s="1"/>
  <c r="G71" i="22"/>
  <c r="I71" i="22" s="1"/>
  <c r="G64" i="40"/>
  <c r="D145" i="39"/>
  <c r="E145" i="39" s="1"/>
  <c r="G144" i="39"/>
  <c r="D65" i="41"/>
  <c r="H64" i="40"/>
  <c r="I64" i="40" s="1"/>
  <c r="B144" i="43"/>
  <c r="F144" i="43"/>
  <c r="H65" i="39"/>
  <c r="G63" i="45"/>
  <c r="I63" i="45" s="1"/>
  <c r="B144" i="45"/>
  <c r="F144" i="45"/>
  <c r="G67" i="28"/>
  <c r="H144" i="44"/>
  <c r="I144" i="44"/>
  <c r="F69" i="29"/>
  <c r="H69" i="29" s="1"/>
  <c r="B69" i="29"/>
  <c r="E145" i="44"/>
  <c r="F145" i="44" s="1"/>
  <c r="D72" i="25"/>
  <c r="G64" i="43"/>
  <c r="I64" i="43" s="1"/>
  <c r="G65" i="39"/>
  <c r="D64" i="45"/>
  <c r="E64" i="45"/>
  <c r="F148" i="31"/>
  <c r="B148" i="31"/>
  <c r="H67" i="28"/>
  <c r="D72" i="22"/>
  <c r="E72" i="22" s="1"/>
  <c r="E73" i="22" s="1"/>
  <c r="G69" i="29" l="1"/>
  <c r="I69" i="29"/>
  <c r="I69" i="27"/>
  <c r="I65" i="13"/>
  <c r="I67" i="28"/>
  <c r="E64" i="44"/>
  <c r="F64" i="44"/>
  <c r="H64" i="44" s="1"/>
  <c r="B64" i="44"/>
  <c r="G151" i="25"/>
  <c r="D152" i="25"/>
  <c r="G152" i="5"/>
  <c r="D153" i="5"/>
  <c r="B153" i="5" s="1"/>
  <c r="D149" i="27"/>
  <c r="G148" i="27"/>
  <c r="E148" i="28"/>
  <c r="F148" i="28" s="1"/>
  <c r="B148" i="28"/>
  <c r="B151" i="23"/>
  <c r="I154" i="6"/>
  <c r="H154" i="6"/>
  <c r="H155" i="6" s="1"/>
  <c r="E145" i="38"/>
  <c r="F145" i="38" s="1"/>
  <c r="B145" i="38"/>
  <c r="J147" i="31"/>
  <c r="D145" i="40"/>
  <c r="G144" i="40"/>
  <c r="H147" i="28"/>
  <c r="I147" i="28"/>
  <c r="J147" i="28" s="1"/>
  <c r="E153" i="4"/>
  <c r="F153" i="4" s="1"/>
  <c r="B153" i="4"/>
  <c r="B152" i="22"/>
  <c r="E152" i="22"/>
  <c r="F152" i="22" s="1"/>
  <c r="D150" i="24"/>
  <c r="B150" i="24" s="1"/>
  <c r="G149" i="24"/>
  <c r="H144" i="38"/>
  <c r="I144" i="38"/>
  <c r="E154" i="8"/>
  <c r="I152" i="4"/>
  <c r="H152" i="4"/>
  <c r="I150" i="23"/>
  <c r="H150" i="23"/>
  <c r="I151" i="22"/>
  <c r="H151" i="22"/>
  <c r="E153" i="3"/>
  <c r="F153" i="3" s="1"/>
  <c r="B153" i="3"/>
  <c r="I154" i="9"/>
  <c r="I155" i="9" s="1"/>
  <c r="H154" i="9"/>
  <c r="H155" i="9" s="1"/>
  <c r="G144" i="37"/>
  <c r="D145" i="37"/>
  <c r="E145" i="37" s="1"/>
  <c r="J145" i="30"/>
  <c r="J147" i="27"/>
  <c r="E151" i="23"/>
  <c r="F151" i="23" s="1"/>
  <c r="G146" i="30"/>
  <c r="D147" i="30"/>
  <c r="I153" i="8"/>
  <c r="J153" i="8" s="1"/>
  <c r="H153" i="8"/>
  <c r="I152" i="3"/>
  <c r="H152" i="3"/>
  <c r="E149" i="29"/>
  <c r="F149" i="29" s="1"/>
  <c r="H148" i="29"/>
  <c r="I148" i="29"/>
  <c r="J148" i="29" s="1"/>
  <c r="G145" i="44"/>
  <c r="D146" i="44"/>
  <c r="E146" i="44" s="1"/>
  <c r="B65" i="37"/>
  <c r="F65" i="37"/>
  <c r="G65" i="37" s="1"/>
  <c r="H145" i="42"/>
  <c r="I145" i="42"/>
  <c r="B68" i="28"/>
  <c r="F68" i="28"/>
  <c r="H68" i="28" s="1"/>
  <c r="G144" i="45"/>
  <c r="D145" i="45"/>
  <c r="E145" i="45" s="1"/>
  <c r="D68" i="31"/>
  <c r="E68" i="31" s="1"/>
  <c r="B66" i="39"/>
  <c r="F66" i="39"/>
  <c r="H66" i="39" s="1"/>
  <c r="F66" i="13"/>
  <c r="H66" i="13" s="1"/>
  <c r="B66" i="13"/>
  <c r="B65" i="40"/>
  <c r="F65" i="40"/>
  <c r="G65" i="40" s="1"/>
  <c r="F67" i="30"/>
  <c r="G67" i="30" s="1"/>
  <c r="B67" i="30"/>
  <c r="D70" i="29"/>
  <c r="E70" i="29" s="1"/>
  <c r="B65" i="41"/>
  <c r="G148" i="31"/>
  <c r="D149" i="31"/>
  <c r="E149" i="31" s="1"/>
  <c r="B72" i="25"/>
  <c r="I65" i="39"/>
  <c r="E65" i="41"/>
  <c r="F65" i="41" s="1"/>
  <c r="B65" i="38"/>
  <c r="F65" i="38"/>
  <c r="H65" i="38" s="1"/>
  <c r="G146" i="13"/>
  <c r="D147" i="13"/>
  <c r="B65" i="43"/>
  <c r="F65" i="43"/>
  <c r="G65" i="43" s="1"/>
  <c r="B70" i="24"/>
  <c r="F70" i="24"/>
  <c r="H70" i="24" s="1"/>
  <c r="B64" i="45"/>
  <c r="F64" i="45"/>
  <c r="G64" i="45" s="1"/>
  <c r="D145" i="43"/>
  <c r="E145" i="43" s="1"/>
  <c r="G144" i="43"/>
  <c r="H144" i="39"/>
  <c r="I144" i="39"/>
  <c r="E72" i="25"/>
  <c r="E73" i="25" s="1"/>
  <c r="F72" i="22"/>
  <c r="H72" i="22" s="1"/>
  <c r="G72" i="22"/>
  <c r="G73" i="22" s="1"/>
  <c r="B72" i="22"/>
  <c r="B145" i="39"/>
  <c r="F145" i="39"/>
  <c r="H64" i="42"/>
  <c r="F64" i="42"/>
  <c r="G64" i="42" s="1"/>
  <c r="B64" i="42"/>
  <c r="D145" i="41"/>
  <c r="E145" i="41" s="1"/>
  <c r="G144" i="41"/>
  <c r="B146" i="42"/>
  <c r="F146" i="42"/>
  <c r="B71" i="23"/>
  <c r="F71" i="23"/>
  <c r="G71" i="23" s="1"/>
  <c r="H67" i="31"/>
  <c r="I67" i="31" s="1"/>
  <c r="F70" i="27"/>
  <c r="G70" i="27" s="1"/>
  <c r="B70" i="27"/>
  <c r="H64" i="45" l="1"/>
  <c r="G66" i="13"/>
  <c r="G65" i="38"/>
  <c r="G68" i="28"/>
  <c r="H70" i="27"/>
  <c r="I70" i="27" s="1"/>
  <c r="H67" i="30"/>
  <c r="I67" i="30" s="1"/>
  <c r="G64" i="44"/>
  <c r="I64" i="44" s="1"/>
  <c r="D65" i="44"/>
  <c r="E65" i="44" s="1"/>
  <c r="H71" i="23"/>
  <c r="I71" i="23" s="1"/>
  <c r="G70" i="24"/>
  <c r="I70" i="24" s="1"/>
  <c r="I65" i="38"/>
  <c r="G151" i="23"/>
  <c r="D152" i="23"/>
  <c r="D154" i="4"/>
  <c r="G153" i="4"/>
  <c r="G153" i="3"/>
  <c r="D154" i="3"/>
  <c r="E154" i="3" s="1"/>
  <c r="E155" i="3" s="1"/>
  <c r="G152" i="22"/>
  <c r="D153" i="22"/>
  <c r="E153" i="22" s="1"/>
  <c r="D149" i="28"/>
  <c r="G148" i="28"/>
  <c r="J152" i="3"/>
  <c r="H146" i="30"/>
  <c r="I146" i="30"/>
  <c r="H144" i="40"/>
  <c r="I144" i="40"/>
  <c r="G145" i="38"/>
  <c r="D146" i="38"/>
  <c r="B145" i="37"/>
  <c r="F145" i="37"/>
  <c r="J152" i="4"/>
  <c r="E150" i="24"/>
  <c r="F150" i="24" s="1"/>
  <c r="E145" i="40"/>
  <c r="F145" i="40" s="1"/>
  <c r="B145" i="40"/>
  <c r="I148" i="27"/>
  <c r="J148" i="27" s="1"/>
  <c r="H148" i="27"/>
  <c r="I152" i="5"/>
  <c r="H152" i="5"/>
  <c r="H144" i="37"/>
  <c r="I144" i="37"/>
  <c r="E155" i="8"/>
  <c r="F154" i="8"/>
  <c r="G154" i="8" s="1"/>
  <c r="I149" i="24"/>
  <c r="H149" i="24"/>
  <c r="E149" i="27"/>
  <c r="B149" i="27"/>
  <c r="F149" i="27"/>
  <c r="E152" i="25"/>
  <c r="F152" i="25" s="1"/>
  <c r="B152" i="25"/>
  <c r="E147" i="30"/>
  <c r="F147" i="30" s="1"/>
  <c r="B147" i="30"/>
  <c r="I155" i="6"/>
  <c r="J154" i="6"/>
  <c r="J155" i="6" s="1"/>
  <c r="E153" i="5"/>
  <c r="F153" i="5" s="1"/>
  <c r="I151" i="25"/>
  <c r="H151" i="25"/>
  <c r="D150" i="29"/>
  <c r="G149" i="29"/>
  <c r="D66" i="41"/>
  <c r="G65" i="41"/>
  <c r="H65" i="41"/>
  <c r="I72" i="22"/>
  <c r="I73" i="22" s="1"/>
  <c r="H73" i="22"/>
  <c r="I64" i="42"/>
  <c r="D146" i="39"/>
  <c r="E146" i="39" s="1"/>
  <c r="G145" i="39"/>
  <c r="D66" i="40"/>
  <c r="E66" i="40" s="1"/>
  <c r="H145" i="44"/>
  <c r="I145" i="44"/>
  <c r="H65" i="43"/>
  <c r="I65" i="43" s="1"/>
  <c r="B149" i="31"/>
  <c r="F149" i="31"/>
  <c r="G66" i="39"/>
  <c r="I66" i="39" s="1"/>
  <c r="I144" i="41"/>
  <c r="H144" i="41"/>
  <c r="I64" i="45"/>
  <c r="I148" i="31"/>
  <c r="J148" i="31" s="1"/>
  <c r="H148" i="31"/>
  <c r="H65" i="40"/>
  <c r="I65" i="40" s="1"/>
  <c r="F145" i="45"/>
  <c r="B145" i="45"/>
  <c r="B145" i="41"/>
  <c r="F145" i="41"/>
  <c r="D65" i="45"/>
  <c r="B147" i="13"/>
  <c r="I66" i="13"/>
  <c r="I144" i="45"/>
  <c r="H144" i="45"/>
  <c r="D71" i="27"/>
  <c r="I144" i="43"/>
  <c r="H144" i="43"/>
  <c r="I146" i="13"/>
  <c r="H146" i="13"/>
  <c r="D69" i="28"/>
  <c r="E69" i="28" s="1"/>
  <c r="D66" i="37"/>
  <c r="E66" i="37" s="1"/>
  <c r="D72" i="23"/>
  <c r="E72" i="23" s="1"/>
  <c r="E73" i="23" s="1"/>
  <c r="F145" i="43"/>
  <c r="B145" i="43"/>
  <c r="D71" i="24"/>
  <c r="E147" i="13"/>
  <c r="F147" i="13" s="1"/>
  <c r="F72" i="25"/>
  <c r="I68" i="28"/>
  <c r="G146" i="42"/>
  <c r="D147" i="42"/>
  <c r="E147" i="42" s="1"/>
  <c r="D65" i="42"/>
  <c r="E65" i="42" s="1"/>
  <c r="D66" i="38"/>
  <c r="E66" i="38" s="1"/>
  <c r="D68" i="30"/>
  <c r="E68" i="30" s="1"/>
  <c r="D67" i="13"/>
  <c r="E67" i="13" s="1"/>
  <c r="F68" i="31"/>
  <c r="G68" i="31" s="1"/>
  <c r="H68" i="31"/>
  <c r="B68" i="31"/>
  <c r="H65" i="37"/>
  <c r="I65" i="37" s="1"/>
  <c r="D66" i="43"/>
  <c r="E66" i="43"/>
  <c r="F70" i="29"/>
  <c r="B70" i="29"/>
  <c r="D67" i="39"/>
  <c r="E67" i="39" s="1"/>
  <c r="B146" i="44"/>
  <c r="F146" i="44"/>
  <c r="F65" i="44" l="1"/>
  <c r="B65" i="44"/>
  <c r="H65" i="44"/>
  <c r="I65" i="41"/>
  <c r="G147" i="30"/>
  <c r="D148" i="30"/>
  <c r="B148" i="30" s="1"/>
  <c r="G152" i="25"/>
  <c r="D153" i="25"/>
  <c r="B153" i="25" s="1"/>
  <c r="E153" i="25"/>
  <c r="F153" i="25" s="1"/>
  <c r="D154" i="5"/>
  <c r="G153" i="5"/>
  <c r="I148" i="28"/>
  <c r="J148" i="28" s="1"/>
  <c r="H148" i="28"/>
  <c r="I153" i="4"/>
  <c r="J153" i="4" s="1"/>
  <c r="H153" i="4"/>
  <c r="D150" i="27"/>
  <c r="G149" i="27"/>
  <c r="D151" i="24"/>
  <c r="G150" i="24"/>
  <c r="E146" i="38"/>
  <c r="F146" i="38" s="1"/>
  <c r="B146" i="38"/>
  <c r="J146" i="30"/>
  <c r="E149" i="28"/>
  <c r="F149" i="28" s="1"/>
  <c r="B149" i="28"/>
  <c r="E154" i="4"/>
  <c r="E155" i="4" s="1"/>
  <c r="F154" i="4"/>
  <c r="G154" i="4" s="1"/>
  <c r="B154" i="4"/>
  <c r="I154" i="8"/>
  <c r="H154" i="8"/>
  <c r="H155" i="8" s="1"/>
  <c r="D146" i="40"/>
  <c r="E146" i="40" s="1"/>
  <c r="G145" i="40"/>
  <c r="I145" i="38"/>
  <c r="H145" i="38"/>
  <c r="B153" i="22"/>
  <c r="F153" i="22"/>
  <c r="B154" i="3"/>
  <c r="F154" i="3"/>
  <c r="G154" i="3" s="1"/>
  <c r="E152" i="23"/>
  <c r="B152" i="23"/>
  <c r="F152" i="23"/>
  <c r="J152" i="5"/>
  <c r="D146" i="37"/>
  <c r="G145" i="37"/>
  <c r="I152" i="22"/>
  <c r="H152" i="22"/>
  <c r="I153" i="3"/>
  <c r="H153" i="3"/>
  <c r="I151" i="23"/>
  <c r="H151" i="23"/>
  <c r="H149" i="29"/>
  <c r="I149" i="29"/>
  <c r="E150" i="29"/>
  <c r="F150" i="29" s="1"/>
  <c r="B150" i="29"/>
  <c r="G147" i="13"/>
  <c r="D148" i="13"/>
  <c r="E148" i="13" s="1"/>
  <c r="G72" i="25"/>
  <c r="G73" i="25" s="1"/>
  <c r="H72" i="25"/>
  <c r="B65" i="45"/>
  <c r="B69" i="28"/>
  <c r="F69" i="28"/>
  <c r="H69" i="28" s="1"/>
  <c r="E65" i="45"/>
  <c r="F65" i="45" s="1"/>
  <c r="H145" i="39"/>
  <c r="I145" i="39"/>
  <c r="G66" i="38"/>
  <c r="F66" i="38"/>
  <c r="H66" i="38"/>
  <c r="B66" i="38"/>
  <c r="D71" i="29"/>
  <c r="B71" i="24"/>
  <c r="B71" i="27"/>
  <c r="G145" i="41"/>
  <c r="D146" i="41"/>
  <c r="E146" i="41" s="1"/>
  <c r="F72" i="23"/>
  <c r="G72" i="23" s="1"/>
  <c r="G73" i="23" s="1"/>
  <c r="H72" i="23"/>
  <c r="B72" i="23"/>
  <c r="G70" i="29"/>
  <c r="I146" i="42"/>
  <c r="H146" i="42"/>
  <c r="E71" i="27"/>
  <c r="F71" i="27" s="1"/>
  <c r="F146" i="39"/>
  <c r="B146" i="39"/>
  <c r="E71" i="24"/>
  <c r="F71" i="24" s="1"/>
  <c r="H70" i="29"/>
  <c r="B67" i="13"/>
  <c r="F67" i="13"/>
  <c r="H67" i="13" s="1"/>
  <c r="D146" i="43"/>
  <c r="E146" i="43" s="1"/>
  <c r="G145" i="43"/>
  <c r="I68" i="31"/>
  <c r="D69" i="31"/>
  <c r="E69" i="31" s="1"/>
  <c r="B147" i="42"/>
  <c r="F147" i="42"/>
  <c r="D147" i="44"/>
  <c r="G146" i="44"/>
  <c r="F66" i="43"/>
  <c r="G66" i="43" s="1"/>
  <c r="B66" i="43"/>
  <c r="D146" i="45"/>
  <c r="E146" i="45" s="1"/>
  <c r="G145" i="45"/>
  <c r="B66" i="41"/>
  <c r="F67" i="39"/>
  <c r="B67" i="39"/>
  <c r="B68" i="30"/>
  <c r="F68" i="30"/>
  <c r="H68" i="30" s="1"/>
  <c r="B65" i="42"/>
  <c r="F65" i="42"/>
  <c r="H65" i="42" s="1"/>
  <c r="B66" i="37"/>
  <c r="F66" i="37"/>
  <c r="G66" i="37" s="1"/>
  <c r="G149" i="31"/>
  <c r="D150" i="31"/>
  <c r="B66" i="40"/>
  <c r="G66" i="40"/>
  <c r="F66" i="40"/>
  <c r="H66" i="40" s="1"/>
  <c r="E66" i="41"/>
  <c r="F66" i="41" s="1"/>
  <c r="H66" i="43" l="1"/>
  <c r="I66" i="43"/>
  <c r="I66" i="40"/>
  <c r="G69" i="28"/>
  <c r="I69" i="28" s="1"/>
  <c r="H66" i="37"/>
  <c r="I66" i="37" s="1"/>
  <c r="I70" i="29"/>
  <c r="G65" i="44"/>
  <c r="I65" i="44" s="1"/>
  <c r="D66" i="44"/>
  <c r="E66" i="44" s="1"/>
  <c r="G146" i="38"/>
  <c r="D147" i="38"/>
  <c r="G149" i="28"/>
  <c r="D150" i="28"/>
  <c r="I145" i="37"/>
  <c r="H145" i="37"/>
  <c r="D154" i="22"/>
  <c r="G153" i="22"/>
  <c r="J154" i="8"/>
  <c r="J155" i="8" s="1"/>
  <c r="I155" i="8"/>
  <c r="E151" i="24"/>
  <c r="F151" i="24" s="1"/>
  <c r="B151" i="24"/>
  <c r="B154" i="5"/>
  <c r="I152" i="25"/>
  <c r="H152" i="25"/>
  <c r="J153" i="3"/>
  <c r="I155" i="3"/>
  <c r="E146" i="37"/>
  <c r="F146" i="37" s="1"/>
  <c r="B146" i="37"/>
  <c r="I145" i="40"/>
  <c r="H145" i="40"/>
  <c r="H149" i="27"/>
  <c r="I149" i="27"/>
  <c r="J149" i="27" s="1"/>
  <c r="E154" i="5"/>
  <c r="E155" i="5" s="1"/>
  <c r="E148" i="30"/>
  <c r="F148" i="30" s="1"/>
  <c r="I154" i="3"/>
  <c r="H154" i="3"/>
  <c r="H155" i="3" s="1"/>
  <c r="F146" i="40"/>
  <c r="B146" i="40"/>
  <c r="I154" i="4"/>
  <c r="H154" i="4"/>
  <c r="H155" i="4" s="1"/>
  <c r="E150" i="27"/>
  <c r="F150" i="27" s="1"/>
  <c r="B150" i="27"/>
  <c r="E154" i="25"/>
  <c r="E155" i="25" s="1"/>
  <c r="G153" i="25"/>
  <c r="D154" i="25"/>
  <c r="D153" i="23"/>
  <c r="E153" i="23"/>
  <c r="G152" i="23"/>
  <c r="I150" i="24"/>
  <c r="H150" i="24"/>
  <c r="I153" i="5"/>
  <c r="H153" i="5"/>
  <c r="H147" i="30"/>
  <c r="I147" i="30"/>
  <c r="D151" i="29"/>
  <c r="G150" i="29"/>
  <c r="J149" i="29"/>
  <c r="D72" i="24"/>
  <c r="E72" i="24" s="1"/>
  <c r="E73" i="24" s="1"/>
  <c r="G71" i="24"/>
  <c r="H71" i="24"/>
  <c r="D66" i="45"/>
  <c r="E66" i="45" s="1"/>
  <c r="G65" i="45"/>
  <c r="H65" i="45"/>
  <c r="D72" i="27"/>
  <c r="E72" i="27" s="1"/>
  <c r="E73" i="27" s="1"/>
  <c r="G71" i="27"/>
  <c r="H71" i="27"/>
  <c r="B147" i="44"/>
  <c r="G147" i="42"/>
  <c r="D148" i="42"/>
  <c r="E148" i="42" s="1"/>
  <c r="I145" i="43"/>
  <c r="H145" i="43"/>
  <c r="F146" i="41"/>
  <c r="B146" i="41"/>
  <c r="D67" i="41"/>
  <c r="D68" i="39"/>
  <c r="E68" i="39" s="1"/>
  <c r="I145" i="45"/>
  <c r="H145" i="45"/>
  <c r="B146" i="43"/>
  <c r="F146" i="43"/>
  <c r="I145" i="41"/>
  <c r="H145" i="41"/>
  <c r="I72" i="23"/>
  <c r="I73" i="23" s="1"/>
  <c r="H73" i="23"/>
  <c r="B71" i="29"/>
  <c r="I72" i="25"/>
  <c r="I73" i="25" s="1"/>
  <c r="H73" i="25"/>
  <c r="D67" i="37"/>
  <c r="E67" i="37" s="1"/>
  <c r="H67" i="39"/>
  <c r="B69" i="31"/>
  <c r="F69" i="31"/>
  <c r="D147" i="39"/>
  <c r="E147" i="39" s="1"/>
  <c r="G146" i="39"/>
  <c r="E71" i="29"/>
  <c r="F71" i="29" s="1"/>
  <c r="B150" i="31"/>
  <c r="G67" i="39"/>
  <c r="D67" i="43"/>
  <c r="E67" i="43" s="1"/>
  <c r="D68" i="13"/>
  <c r="E150" i="31"/>
  <c r="F150" i="31" s="1"/>
  <c r="D66" i="42"/>
  <c r="E66" i="42" s="1"/>
  <c r="I149" i="31"/>
  <c r="H149" i="31"/>
  <c r="D69" i="30"/>
  <c r="E69" i="30" s="1"/>
  <c r="H66" i="41"/>
  <c r="I146" i="44"/>
  <c r="H146" i="44"/>
  <c r="G67" i="13"/>
  <c r="I67" i="13" s="1"/>
  <c r="I66" i="38"/>
  <c r="F148" i="13"/>
  <c r="B148" i="13"/>
  <c r="B146" i="45"/>
  <c r="F146" i="45"/>
  <c r="G65" i="42"/>
  <c r="I65" i="42" s="1"/>
  <c r="D67" i="40"/>
  <c r="E67" i="40" s="1"/>
  <c r="G68" i="30"/>
  <c r="I68" i="30" s="1"/>
  <c r="G66" i="41"/>
  <c r="E147" i="44"/>
  <c r="F147" i="44" s="1"/>
  <c r="D67" i="38"/>
  <c r="D70" i="28"/>
  <c r="E70" i="28" s="1"/>
  <c r="H147" i="13"/>
  <c r="I147" i="13"/>
  <c r="I71" i="27" l="1"/>
  <c r="I66" i="41"/>
  <c r="I65" i="45"/>
  <c r="I71" i="24"/>
  <c r="F66" i="44"/>
  <c r="D67" i="44" s="1"/>
  <c r="B66" i="44"/>
  <c r="G150" i="27"/>
  <c r="D151" i="27"/>
  <c r="G151" i="24"/>
  <c r="D152" i="24"/>
  <c r="D147" i="37"/>
  <c r="G146" i="37"/>
  <c r="B154" i="25"/>
  <c r="F154" i="25"/>
  <c r="G154" i="25" s="1"/>
  <c r="D149" i="30"/>
  <c r="E149" i="30" s="1"/>
  <c r="G148" i="30"/>
  <c r="I153" i="22"/>
  <c r="H153" i="22"/>
  <c r="E150" i="28"/>
  <c r="F150" i="28"/>
  <c r="B150" i="28"/>
  <c r="I152" i="23"/>
  <c r="H152" i="23"/>
  <c r="H153" i="25"/>
  <c r="I153" i="25"/>
  <c r="D147" i="40"/>
  <c r="B147" i="40" s="1"/>
  <c r="G146" i="40"/>
  <c r="F154" i="5"/>
  <c r="G154" i="5" s="1"/>
  <c r="E154" i="22"/>
  <c r="E155" i="22" s="1"/>
  <c r="B154" i="22"/>
  <c r="H149" i="28"/>
  <c r="I149" i="28"/>
  <c r="J149" i="28" s="1"/>
  <c r="J153" i="5"/>
  <c r="E147" i="38"/>
  <c r="F147" i="38" s="1"/>
  <c r="B147" i="38"/>
  <c r="J147" i="30"/>
  <c r="B153" i="23"/>
  <c r="F153" i="23"/>
  <c r="J154" i="4"/>
  <c r="J155" i="4" s="1"/>
  <c r="I155" i="4"/>
  <c r="J154" i="3"/>
  <c r="J155" i="3" s="1"/>
  <c r="I146" i="38"/>
  <c r="H146" i="38"/>
  <c r="J149" i="31"/>
  <c r="I150" i="29"/>
  <c r="H150" i="29"/>
  <c r="B151" i="29"/>
  <c r="E151" i="29"/>
  <c r="F151" i="29" s="1"/>
  <c r="G150" i="31"/>
  <c r="D151" i="31"/>
  <c r="D72" i="29"/>
  <c r="E72" i="29" s="1"/>
  <c r="E73" i="29" s="1"/>
  <c r="H71" i="29"/>
  <c r="G71" i="29"/>
  <c r="D148" i="44"/>
  <c r="E148" i="44" s="1"/>
  <c r="G147" i="44"/>
  <c r="B68" i="13"/>
  <c r="I67" i="39"/>
  <c r="B67" i="40"/>
  <c r="F67" i="40"/>
  <c r="G148" i="13"/>
  <c r="D149" i="13"/>
  <c r="B67" i="41"/>
  <c r="F67" i="43"/>
  <c r="B67" i="43"/>
  <c r="I146" i="39"/>
  <c r="H146" i="39"/>
  <c r="B67" i="37"/>
  <c r="F67" i="37"/>
  <c r="E67" i="41"/>
  <c r="F67" i="41" s="1"/>
  <c r="B148" i="42"/>
  <c r="F148" i="42"/>
  <c r="B67" i="38"/>
  <c r="B147" i="39"/>
  <c r="F147" i="39"/>
  <c r="G146" i="43"/>
  <c r="D147" i="43"/>
  <c r="E147" i="43" s="1"/>
  <c r="H147" i="42"/>
  <c r="I147" i="42"/>
  <c r="B66" i="45"/>
  <c r="F66" i="45"/>
  <c r="G66" i="45" s="1"/>
  <c r="F70" i="28"/>
  <c r="H70" i="28"/>
  <c r="B70" i="28"/>
  <c r="E67" i="38"/>
  <c r="F67" i="38" s="1"/>
  <c r="D147" i="41"/>
  <c r="G146" i="41"/>
  <c r="E147" i="41"/>
  <c r="D70" i="31"/>
  <c r="E70" i="31" s="1"/>
  <c r="F66" i="42"/>
  <c r="H66" i="42" s="1"/>
  <c r="B66" i="42"/>
  <c r="F69" i="30"/>
  <c r="H69" i="30" s="1"/>
  <c r="B69" i="30"/>
  <c r="H69" i="31"/>
  <c r="G146" i="45"/>
  <c r="D147" i="45"/>
  <c r="E147" i="45" s="1"/>
  <c r="E68" i="13"/>
  <c r="F68" i="13" s="1"/>
  <c r="G69" i="31"/>
  <c r="F68" i="39"/>
  <c r="H68" i="39" s="1"/>
  <c r="B68" i="39"/>
  <c r="F72" i="27"/>
  <c r="G72" i="27" s="1"/>
  <c r="G73" i="27" s="1"/>
  <c r="B72" i="27"/>
  <c r="B72" i="24"/>
  <c r="F72" i="24"/>
  <c r="H72" i="24" s="1"/>
  <c r="G72" i="24" l="1"/>
  <c r="G73" i="24" s="1"/>
  <c r="H72" i="27"/>
  <c r="H66" i="45"/>
  <c r="G66" i="44"/>
  <c r="E67" i="44"/>
  <c r="F67" i="44" s="1"/>
  <c r="B67" i="44"/>
  <c r="G69" i="30"/>
  <c r="H66" i="44"/>
  <c r="I66" i="44" s="1"/>
  <c r="I154" i="5"/>
  <c r="H154" i="5"/>
  <c r="H155" i="5" s="1"/>
  <c r="H154" i="25"/>
  <c r="H155" i="25" s="1"/>
  <c r="I154" i="25"/>
  <c r="I155" i="25" s="1"/>
  <c r="E152" i="24"/>
  <c r="B152" i="24"/>
  <c r="F152" i="24"/>
  <c r="E147" i="40"/>
  <c r="F147" i="40" s="1"/>
  <c r="G150" i="28"/>
  <c r="D151" i="28"/>
  <c r="H151" i="24"/>
  <c r="I151" i="24"/>
  <c r="J150" i="29"/>
  <c r="F154" i="22"/>
  <c r="G154" i="22" s="1"/>
  <c r="H146" i="40"/>
  <c r="I146" i="40"/>
  <c r="I148" i="30"/>
  <c r="H148" i="30"/>
  <c r="H146" i="37"/>
  <c r="I146" i="37"/>
  <c r="E151" i="27"/>
  <c r="F151" i="27" s="1"/>
  <c r="B151" i="27"/>
  <c r="G153" i="23"/>
  <c r="D154" i="23"/>
  <c r="G147" i="38"/>
  <c r="D148" i="38"/>
  <c r="E148" i="38" s="1"/>
  <c r="B149" i="30"/>
  <c r="F149" i="30"/>
  <c r="E147" i="37"/>
  <c r="B147" i="37"/>
  <c r="F147" i="37"/>
  <c r="I150" i="27"/>
  <c r="J150" i="27" s="1"/>
  <c r="H150" i="27"/>
  <c r="D152" i="29"/>
  <c r="B152" i="29" s="1"/>
  <c r="G151" i="29"/>
  <c r="D69" i="13"/>
  <c r="E69" i="13" s="1"/>
  <c r="H68" i="13"/>
  <c r="G68" i="13"/>
  <c r="D68" i="38"/>
  <c r="E68" i="38" s="1"/>
  <c r="G67" i="38"/>
  <c r="H67" i="38"/>
  <c r="I72" i="24"/>
  <c r="I73" i="24" s="1"/>
  <c r="H73" i="24"/>
  <c r="D68" i="37"/>
  <c r="D68" i="43"/>
  <c r="E68" i="43" s="1"/>
  <c r="D68" i="40"/>
  <c r="E68" i="40"/>
  <c r="H147" i="44"/>
  <c r="I147" i="44"/>
  <c r="B151" i="31"/>
  <c r="G67" i="37"/>
  <c r="I150" i="31"/>
  <c r="H150" i="31"/>
  <c r="I72" i="27"/>
  <c r="I73" i="27" s="1"/>
  <c r="H73" i="27"/>
  <c r="D68" i="41"/>
  <c r="E68" i="41" s="1"/>
  <c r="G67" i="40"/>
  <c r="F148" i="44"/>
  <c r="B148" i="44"/>
  <c r="D71" i="28"/>
  <c r="H67" i="41"/>
  <c r="H67" i="40"/>
  <c r="I67" i="40" s="1"/>
  <c r="I69" i="31"/>
  <c r="I69" i="30"/>
  <c r="D70" i="30"/>
  <c r="E70" i="30" s="1"/>
  <c r="G70" i="28"/>
  <c r="I70" i="28" s="1"/>
  <c r="B147" i="43"/>
  <c r="F147" i="43"/>
  <c r="G148" i="42"/>
  <c r="D149" i="42"/>
  <c r="E149" i="42" s="1"/>
  <c r="G67" i="41"/>
  <c r="I71" i="29"/>
  <c r="D67" i="42"/>
  <c r="I146" i="43"/>
  <c r="H146" i="43"/>
  <c r="B149" i="13"/>
  <c r="G66" i="42"/>
  <c r="I66" i="42" s="1"/>
  <c r="F70" i="31"/>
  <c r="G70" i="31" s="1"/>
  <c r="B70" i="31"/>
  <c r="H146" i="41"/>
  <c r="I146" i="41"/>
  <c r="I66" i="45"/>
  <c r="G147" i="39"/>
  <c r="D148" i="39"/>
  <c r="E148" i="39" s="1"/>
  <c r="G67" i="43"/>
  <c r="H148" i="13"/>
  <c r="I148" i="13"/>
  <c r="B72" i="29"/>
  <c r="F72" i="29"/>
  <c r="G72" i="29" s="1"/>
  <c r="G73" i="29" s="1"/>
  <c r="D69" i="39"/>
  <c r="E69" i="39" s="1"/>
  <c r="F147" i="45"/>
  <c r="B147" i="45"/>
  <c r="G68" i="39"/>
  <c r="I68" i="39" s="1"/>
  <c r="H146" i="45"/>
  <c r="I146" i="45"/>
  <c r="B147" i="41"/>
  <c r="F147" i="41"/>
  <c r="D67" i="45"/>
  <c r="H67" i="37"/>
  <c r="I67" i="37" s="1"/>
  <c r="H67" i="43"/>
  <c r="E149" i="13"/>
  <c r="F149" i="13" s="1"/>
  <c r="E151" i="31"/>
  <c r="F151" i="31" s="1"/>
  <c r="D68" i="44" l="1"/>
  <c r="H70" i="31"/>
  <c r="I67" i="41"/>
  <c r="G67" i="44"/>
  <c r="I67" i="43"/>
  <c r="H67" i="44"/>
  <c r="D152" i="27"/>
  <c r="G151" i="27"/>
  <c r="H147" i="38"/>
  <c r="I147" i="38"/>
  <c r="G147" i="40"/>
  <c r="D148" i="40"/>
  <c r="E152" i="29"/>
  <c r="F152" i="29" s="1"/>
  <c r="G149" i="30"/>
  <c r="D150" i="30"/>
  <c r="B150" i="30" s="1"/>
  <c r="E150" i="30"/>
  <c r="F150" i="30" s="1"/>
  <c r="H154" i="22"/>
  <c r="H155" i="22" s="1"/>
  <c r="I154" i="22"/>
  <c r="I155" i="22" s="1"/>
  <c r="B151" i="28"/>
  <c r="D153" i="24"/>
  <c r="G152" i="24"/>
  <c r="D148" i="37"/>
  <c r="G147" i="37"/>
  <c r="E154" i="23"/>
  <c r="E155" i="23" s="1"/>
  <c r="B154" i="23"/>
  <c r="J148" i="30"/>
  <c r="H150" i="28"/>
  <c r="I150" i="28"/>
  <c r="B148" i="38"/>
  <c r="F148" i="38"/>
  <c r="I153" i="23"/>
  <c r="H153" i="23"/>
  <c r="E151" i="28"/>
  <c r="F151" i="28" s="1"/>
  <c r="J154" i="5"/>
  <c r="J155" i="5" s="1"/>
  <c r="I155" i="5"/>
  <c r="J150" i="31"/>
  <c r="G152" i="29"/>
  <c r="D153" i="29"/>
  <c r="I151" i="29"/>
  <c r="H151" i="29"/>
  <c r="G149" i="13"/>
  <c r="D150" i="13"/>
  <c r="E150" i="13" s="1"/>
  <c r="D152" i="31"/>
  <c r="G151" i="31"/>
  <c r="D148" i="41"/>
  <c r="G147" i="41"/>
  <c r="B68" i="41"/>
  <c r="F68" i="41"/>
  <c r="G68" i="41" s="1"/>
  <c r="F68" i="38"/>
  <c r="H68" i="38" s="1"/>
  <c r="B68" i="38"/>
  <c r="B69" i="39"/>
  <c r="H69" i="39"/>
  <c r="F69" i="39"/>
  <c r="B68" i="40"/>
  <c r="G68" i="40"/>
  <c r="H68" i="40"/>
  <c r="F68" i="40"/>
  <c r="I70" i="31"/>
  <c r="F149" i="42"/>
  <c r="B149" i="42"/>
  <c r="F70" i="30"/>
  <c r="B70" i="30"/>
  <c r="B67" i="45"/>
  <c r="D148" i="45"/>
  <c r="E148" i="45" s="1"/>
  <c r="G147" i="45"/>
  <c r="B68" i="43"/>
  <c r="F68" i="43"/>
  <c r="G68" i="43" s="1"/>
  <c r="I68" i="13"/>
  <c r="D71" i="31"/>
  <c r="E71" i="31" s="1"/>
  <c r="B67" i="42"/>
  <c r="I148" i="42"/>
  <c r="H148" i="42"/>
  <c r="B71" i="28"/>
  <c r="G148" i="44"/>
  <c r="D149" i="44"/>
  <c r="E149" i="44" s="1"/>
  <c r="B68" i="37"/>
  <c r="B148" i="39"/>
  <c r="F148" i="39"/>
  <c r="H72" i="29"/>
  <c r="E67" i="45"/>
  <c r="F67" i="45" s="1"/>
  <c r="H147" i="39"/>
  <c r="I147" i="39"/>
  <c r="E67" i="42"/>
  <c r="F67" i="42" s="1"/>
  <c r="G147" i="43"/>
  <c r="D148" i="43"/>
  <c r="E148" i="43" s="1"/>
  <c r="E71" i="28"/>
  <c r="F71" i="28" s="1"/>
  <c r="E68" i="37"/>
  <c r="F68" i="37" s="1"/>
  <c r="I67" i="38"/>
  <c r="F69" i="13"/>
  <c r="G69" i="13" s="1"/>
  <c r="B69" i="13"/>
  <c r="G68" i="38" l="1"/>
  <c r="I67" i="44"/>
  <c r="H69" i="13"/>
  <c r="I69" i="13" s="1"/>
  <c r="B68" i="44"/>
  <c r="E68" i="44"/>
  <c r="F68" i="44" s="1"/>
  <c r="D152" i="28"/>
  <c r="B152" i="28" s="1"/>
  <c r="G151" i="28"/>
  <c r="E153" i="24"/>
  <c r="F153" i="24"/>
  <c r="B153" i="24"/>
  <c r="J151" i="29"/>
  <c r="G148" i="38"/>
  <c r="D149" i="38"/>
  <c r="E149" i="38" s="1"/>
  <c r="I147" i="37"/>
  <c r="H147" i="37"/>
  <c r="D151" i="30"/>
  <c r="G150" i="30"/>
  <c r="B148" i="40"/>
  <c r="E148" i="37"/>
  <c r="F148" i="37" s="1"/>
  <c r="B148" i="37"/>
  <c r="I147" i="40"/>
  <c r="H147" i="40"/>
  <c r="H151" i="27"/>
  <c r="I151" i="27"/>
  <c r="J150" i="28"/>
  <c r="F154" i="23"/>
  <c r="G154" i="23" s="1"/>
  <c r="I152" i="24"/>
  <c r="H152" i="24"/>
  <c r="I149" i="30"/>
  <c r="H149" i="30"/>
  <c r="E148" i="40"/>
  <c r="F148" i="40" s="1"/>
  <c r="E152" i="27"/>
  <c r="F152" i="27" s="1"/>
  <c r="B152" i="27"/>
  <c r="B153" i="29"/>
  <c r="I152" i="29"/>
  <c r="H152" i="29"/>
  <c r="E153" i="29"/>
  <c r="F153" i="29" s="1"/>
  <c r="D68" i="42"/>
  <c r="E68" i="42" s="1"/>
  <c r="H67" i="42"/>
  <c r="G67" i="42"/>
  <c r="D68" i="45"/>
  <c r="E68" i="45" s="1"/>
  <c r="G67" i="45"/>
  <c r="H67" i="45"/>
  <c r="D69" i="37"/>
  <c r="E69" i="37" s="1"/>
  <c r="H68" i="37"/>
  <c r="G68" i="37"/>
  <c r="D72" i="28"/>
  <c r="E72" i="28" s="1"/>
  <c r="E73" i="28" s="1"/>
  <c r="G71" i="28"/>
  <c r="H71" i="28"/>
  <c r="I71" i="28" s="1"/>
  <c r="H147" i="41"/>
  <c r="I147" i="41"/>
  <c r="D71" i="30"/>
  <c r="B148" i="41"/>
  <c r="H70" i="30"/>
  <c r="I68" i="38"/>
  <c r="D69" i="41"/>
  <c r="H151" i="31"/>
  <c r="I151" i="31"/>
  <c r="B152" i="31"/>
  <c r="D150" i="42"/>
  <c r="G149" i="42"/>
  <c r="D70" i="39"/>
  <c r="E70" i="39" s="1"/>
  <c r="D69" i="38"/>
  <c r="H68" i="41"/>
  <c r="I68" i="41" s="1"/>
  <c r="E152" i="31"/>
  <c r="F152" i="31" s="1"/>
  <c r="F149" i="44"/>
  <c r="B149" i="44"/>
  <c r="F150" i="13"/>
  <c r="B150" i="13"/>
  <c r="F71" i="31"/>
  <c r="G71" i="31" s="1"/>
  <c r="H71" i="31"/>
  <c r="B71" i="31"/>
  <c r="F148" i="43"/>
  <c r="B148" i="43"/>
  <c r="H68" i="43"/>
  <c r="I68" i="43" s="1"/>
  <c r="D70" i="13"/>
  <c r="E70" i="13" s="1"/>
  <c r="I147" i="43"/>
  <c r="H147" i="43"/>
  <c r="I72" i="29"/>
  <c r="I73" i="29" s="1"/>
  <c r="H73" i="29"/>
  <c r="H148" i="44"/>
  <c r="I148" i="44"/>
  <c r="H147" i="45"/>
  <c r="I147" i="45"/>
  <c r="D69" i="40"/>
  <c r="E69" i="40" s="1"/>
  <c r="G69" i="39"/>
  <c r="I69" i="39" s="1"/>
  <c r="I149" i="13"/>
  <c r="H149" i="13"/>
  <c r="G148" i="39"/>
  <c r="D149" i="39"/>
  <c r="E149" i="39" s="1"/>
  <c r="D69" i="43"/>
  <c r="E69" i="43" s="1"/>
  <c r="F148" i="45"/>
  <c r="B148" i="45"/>
  <c r="G70" i="30"/>
  <c r="I68" i="40"/>
  <c r="E148" i="41"/>
  <c r="F148" i="41" s="1"/>
  <c r="D69" i="44" l="1"/>
  <c r="G68" i="44"/>
  <c r="I67" i="45"/>
  <c r="E69" i="44"/>
  <c r="F69" i="44" s="1"/>
  <c r="B69" i="44"/>
  <c r="H68" i="44"/>
  <c r="I68" i="44" s="1"/>
  <c r="D153" i="27"/>
  <c r="G152" i="27"/>
  <c r="G148" i="40"/>
  <c r="D149" i="40"/>
  <c r="B149" i="40" s="1"/>
  <c r="G148" i="37"/>
  <c r="D149" i="37"/>
  <c r="B149" i="37" s="1"/>
  <c r="J149" i="30"/>
  <c r="J151" i="27"/>
  <c r="E152" i="28"/>
  <c r="F152" i="28" s="1"/>
  <c r="I150" i="30"/>
  <c r="J150" i="30" s="1"/>
  <c r="H150" i="30"/>
  <c r="F149" i="38"/>
  <c r="B149" i="38"/>
  <c r="H151" i="28"/>
  <c r="I151" i="28"/>
  <c r="I154" i="23"/>
  <c r="I155" i="23" s="1"/>
  <c r="H154" i="23"/>
  <c r="H155" i="23" s="1"/>
  <c r="E151" i="30"/>
  <c r="F151" i="30" s="1"/>
  <c r="B151" i="30"/>
  <c r="H148" i="38"/>
  <c r="I148" i="38"/>
  <c r="G153" i="24"/>
  <c r="D154" i="24"/>
  <c r="G153" i="29"/>
  <c r="D154" i="29"/>
  <c r="J152" i="29"/>
  <c r="J151" i="31"/>
  <c r="G148" i="41"/>
  <c r="D149" i="41"/>
  <c r="E149" i="41" s="1"/>
  <c r="B69" i="38"/>
  <c r="B69" i="41"/>
  <c r="B71" i="30"/>
  <c r="F69" i="43"/>
  <c r="G69" i="43" s="1"/>
  <c r="B69" i="43"/>
  <c r="D149" i="43"/>
  <c r="E149" i="43" s="1"/>
  <c r="G148" i="43"/>
  <c r="E71" i="30"/>
  <c r="F71" i="30" s="1"/>
  <c r="B70" i="13"/>
  <c r="F70" i="13"/>
  <c r="G70" i="13" s="1"/>
  <c r="F70" i="39"/>
  <c r="H70" i="39" s="1"/>
  <c r="B70" i="39"/>
  <c r="D153" i="31"/>
  <c r="G152" i="31"/>
  <c r="I70" i="30"/>
  <c r="F149" i="39"/>
  <c r="B149" i="39"/>
  <c r="B72" i="28"/>
  <c r="F72" i="28"/>
  <c r="H72" i="28" s="1"/>
  <c r="G72" i="28"/>
  <c r="G73" i="28" s="1"/>
  <c r="F68" i="45"/>
  <c r="H68" i="45" s="1"/>
  <c r="B68" i="45"/>
  <c r="I148" i="39"/>
  <c r="H148" i="39"/>
  <c r="I71" i="31"/>
  <c r="G149" i="44"/>
  <c r="D150" i="44"/>
  <c r="B150" i="42"/>
  <c r="H149" i="42"/>
  <c r="I149" i="42"/>
  <c r="D72" i="31"/>
  <c r="E150" i="42"/>
  <c r="F150" i="42" s="1"/>
  <c r="I68" i="37"/>
  <c r="I67" i="42"/>
  <c r="F69" i="40"/>
  <c r="B69" i="40"/>
  <c r="D149" i="45"/>
  <c r="E149" i="45" s="1"/>
  <c r="G148" i="45"/>
  <c r="G150" i="13"/>
  <c r="D151" i="13"/>
  <c r="E151" i="13" s="1"/>
  <c r="E69" i="38"/>
  <c r="F69" i="38" s="1"/>
  <c r="E69" i="41"/>
  <c r="F69" i="41" s="1"/>
  <c r="B69" i="37"/>
  <c r="F69" i="37"/>
  <c r="H69" i="37" s="1"/>
  <c r="F68" i="42"/>
  <c r="G68" i="42" s="1"/>
  <c r="B68" i="42"/>
  <c r="E149" i="37" l="1"/>
  <c r="F149" i="37" s="1"/>
  <c r="H69" i="43"/>
  <c r="H69" i="44"/>
  <c r="D70" i="44"/>
  <c r="B70" i="44" s="1"/>
  <c r="H70" i="13"/>
  <c r="I70" i="13" s="1"/>
  <c r="G69" i="44"/>
  <c r="G151" i="30"/>
  <c r="D152" i="30"/>
  <c r="B152" i="30" s="1"/>
  <c r="D150" i="37"/>
  <c r="E150" i="37" s="1"/>
  <c r="G149" i="37"/>
  <c r="B154" i="24"/>
  <c r="D153" i="28"/>
  <c r="G152" i="28"/>
  <c r="H148" i="40"/>
  <c r="I148" i="40"/>
  <c r="E154" i="24"/>
  <c r="E155" i="24" s="1"/>
  <c r="D150" i="38"/>
  <c r="E150" i="38" s="1"/>
  <c r="G149" i="38"/>
  <c r="H148" i="37"/>
  <c r="I148" i="37"/>
  <c r="I152" i="27"/>
  <c r="H152" i="27"/>
  <c r="H153" i="24"/>
  <c r="I153" i="24"/>
  <c r="J151" i="28"/>
  <c r="E149" i="40"/>
  <c r="F149" i="40" s="1"/>
  <c r="E153" i="27"/>
  <c r="F153" i="27" s="1"/>
  <c r="B153" i="27"/>
  <c r="E154" i="29"/>
  <c r="E155" i="29" s="1"/>
  <c r="B154" i="29"/>
  <c r="I153" i="29"/>
  <c r="H153" i="29"/>
  <c r="D70" i="38"/>
  <c r="E70" i="38" s="1"/>
  <c r="H69" i="38"/>
  <c r="G69" i="38"/>
  <c r="I72" i="28"/>
  <c r="I73" i="28" s="1"/>
  <c r="H73" i="28"/>
  <c r="D72" i="30"/>
  <c r="H71" i="30"/>
  <c r="G71" i="30"/>
  <c r="D70" i="41"/>
  <c r="E70" i="41" s="1"/>
  <c r="H69" i="41"/>
  <c r="G69" i="41"/>
  <c r="G150" i="42"/>
  <c r="D151" i="42"/>
  <c r="B150" i="44"/>
  <c r="I152" i="31"/>
  <c r="H152" i="31"/>
  <c r="I69" i="43"/>
  <c r="E150" i="44"/>
  <c r="F150" i="44" s="1"/>
  <c r="D69" i="45"/>
  <c r="E69" i="45" s="1"/>
  <c r="B153" i="31"/>
  <c r="D70" i="40"/>
  <c r="E70" i="40" s="1"/>
  <c r="E153" i="31"/>
  <c r="F153" i="31" s="1"/>
  <c r="D70" i="43"/>
  <c r="E70" i="43"/>
  <c r="B72" i="31"/>
  <c r="I148" i="45"/>
  <c r="H148" i="45"/>
  <c r="G149" i="39"/>
  <c r="D150" i="39"/>
  <c r="D70" i="37"/>
  <c r="E70" i="37" s="1"/>
  <c r="E72" i="31"/>
  <c r="E73" i="31" s="1"/>
  <c r="F149" i="45"/>
  <c r="B149" i="45"/>
  <c r="H150" i="13"/>
  <c r="I150" i="13"/>
  <c r="G69" i="37"/>
  <c r="I69" i="37" s="1"/>
  <c r="H149" i="44"/>
  <c r="I149" i="44"/>
  <c r="D69" i="42"/>
  <c r="E69" i="42" s="1"/>
  <c r="H69" i="40"/>
  <c r="D71" i="39"/>
  <c r="E71" i="39" s="1"/>
  <c r="H148" i="43"/>
  <c r="I148" i="43"/>
  <c r="H68" i="42"/>
  <c r="I68" i="42" s="1"/>
  <c r="G69" i="40"/>
  <c r="G68" i="45"/>
  <c r="I68" i="45" s="1"/>
  <c r="G70" i="39"/>
  <c r="I70" i="39" s="1"/>
  <c r="F149" i="43"/>
  <c r="B149" i="43"/>
  <c r="F149" i="41"/>
  <c r="B149" i="41"/>
  <c r="B151" i="13"/>
  <c r="F151" i="13"/>
  <c r="D71" i="13"/>
  <c r="E71" i="13" s="1"/>
  <c r="H148" i="41"/>
  <c r="I148" i="41"/>
  <c r="F72" i="31" l="1"/>
  <c r="H72" i="31" s="1"/>
  <c r="I69" i="40"/>
  <c r="I69" i="41"/>
  <c r="E70" i="44"/>
  <c r="F70" i="44" s="1"/>
  <c r="I69" i="44"/>
  <c r="G153" i="27"/>
  <c r="D154" i="27"/>
  <c r="E154" i="27"/>
  <c r="E155" i="27" s="1"/>
  <c r="D150" i="40"/>
  <c r="E150" i="40" s="1"/>
  <c r="G149" i="40"/>
  <c r="B150" i="37"/>
  <c r="F150" i="37"/>
  <c r="F154" i="29"/>
  <c r="G154" i="29" s="1"/>
  <c r="J152" i="27"/>
  <c r="H149" i="38"/>
  <c r="I149" i="38"/>
  <c r="F154" i="24"/>
  <c r="G154" i="24" s="1"/>
  <c r="E152" i="30"/>
  <c r="F152" i="30" s="1"/>
  <c r="B150" i="38"/>
  <c r="F150" i="38"/>
  <c r="I152" i="28"/>
  <c r="H152" i="28"/>
  <c r="E153" i="28"/>
  <c r="F153" i="28" s="1"/>
  <c r="B153" i="28"/>
  <c r="I149" i="37"/>
  <c r="H149" i="37"/>
  <c r="H151" i="30"/>
  <c r="I151" i="30"/>
  <c r="I154" i="29"/>
  <c r="I155" i="29" s="1"/>
  <c r="H154" i="29"/>
  <c r="H155" i="29" s="1"/>
  <c r="J152" i="31"/>
  <c r="J153" i="29"/>
  <c r="H73" i="31"/>
  <c r="B72" i="30"/>
  <c r="G72" i="31"/>
  <c r="G73" i="31" s="1"/>
  <c r="G153" i="31"/>
  <c r="D154" i="31"/>
  <c r="D151" i="44"/>
  <c r="E151" i="44" s="1"/>
  <c r="G150" i="44"/>
  <c r="B150" i="39"/>
  <c r="B151" i="42"/>
  <c r="E150" i="39"/>
  <c r="F150" i="39" s="1"/>
  <c r="B69" i="45"/>
  <c r="F69" i="45"/>
  <c r="G69" i="45" s="1"/>
  <c r="E151" i="42"/>
  <c r="F151" i="42" s="1"/>
  <c r="H149" i="39"/>
  <c r="I149" i="39"/>
  <c r="F70" i="43"/>
  <c r="H70" i="43" s="1"/>
  <c r="B70" i="43"/>
  <c r="G70" i="43"/>
  <c r="I150" i="42"/>
  <c r="H150" i="42"/>
  <c r="I69" i="38"/>
  <c r="D150" i="43"/>
  <c r="E150" i="43" s="1"/>
  <c r="G149" i="43"/>
  <c r="F69" i="42"/>
  <c r="G69" i="42" s="1"/>
  <c r="B69" i="42"/>
  <c r="F70" i="37"/>
  <c r="G70" i="37" s="1"/>
  <c r="B70" i="37"/>
  <c r="B71" i="13"/>
  <c r="F71" i="13"/>
  <c r="H71" i="13" s="1"/>
  <c r="G151" i="13"/>
  <c r="D152" i="13"/>
  <c r="E152" i="13" s="1"/>
  <c r="G149" i="45"/>
  <c r="D150" i="45"/>
  <c r="D150" i="41"/>
  <c r="G149" i="41"/>
  <c r="I71" i="30"/>
  <c r="F70" i="38"/>
  <c r="H70" i="38" s="1"/>
  <c r="B70" i="38"/>
  <c r="B71" i="39"/>
  <c r="F71" i="39"/>
  <c r="B70" i="40"/>
  <c r="F70" i="40"/>
  <c r="H70" i="40" s="1"/>
  <c r="F70" i="41"/>
  <c r="H70" i="41" s="1"/>
  <c r="B70" i="41"/>
  <c r="E72" i="30"/>
  <c r="E73" i="30" s="1"/>
  <c r="G70" i="40" l="1"/>
  <c r="I70" i="43"/>
  <c r="H69" i="42"/>
  <c r="I70" i="40"/>
  <c r="H69" i="45"/>
  <c r="I69" i="45" s="1"/>
  <c r="H70" i="37"/>
  <c r="I70" i="37" s="1"/>
  <c r="I69" i="42"/>
  <c r="D71" i="44"/>
  <c r="G70" i="44"/>
  <c r="H70" i="44"/>
  <c r="G153" i="28"/>
  <c r="D154" i="28"/>
  <c r="D151" i="37"/>
  <c r="G150" i="37"/>
  <c r="G152" i="30"/>
  <c r="E153" i="30"/>
  <c r="D153" i="30"/>
  <c r="J151" i="30"/>
  <c r="J152" i="28"/>
  <c r="I154" i="24"/>
  <c r="I155" i="24" s="1"/>
  <c r="H154" i="24"/>
  <c r="H155" i="24" s="1"/>
  <c r="I149" i="40"/>
  <c r="H149" i="40"/>
  <c r="B154" i="27"/>
  <c r="F154" i="27"/>
  <c r="G154" i="27" s="1"/>
  <c r="D151" i="38"/>
  <c r="G150" i="38"/>
  <c r="F150" i="40"/>
  <c r="B150" i="40"/>
  <c r="I153" i="27"/>
  <c r="H153" i="27"/>
  <c r="J154" i="29"/>
  <c r="J155" i="29" s="1"/>
  <c r="G151" i="42"/>
  <c r="D152" i="42"/>
  <c r="D151" i="39"/>
  <c r="E151" i="39" s="1"/>
  <c r="G150" i="39"/>
  <c r="H149" i="41"/>
  <c r="I149" i="41"/>
  <c r="B154" i="31"/>
  <c r="F72" i="30"/>
  <c r="B150" i="41"/>
  <c r="D72" i="13"/>
  <c r="H153" i="31"/>
  <c r="I153" i="31"/>
  <c r="E154" i="31"/>
  <c r="E155" i="31" s="1"/>
  <c r="B150" i="45"/>
  <c r="D70" i="42"/>
  <c r="E70" i="42" s="1"/>
  <c r="E150" i="45"/>
  <c r="F150" i="45" s="1"/>
  <c r="D71" i="40"/>
  <c r="E71" i="40" s="1"/>
  <c r="D71" i="38"/>
  <c r="E71" i="38" s="1"/>
  <c r="H149" i="45"/>
  <c r="I149" i="45"/>
  <c r="G70" i="38"/>
  <c r="I70" i="38" s="1"/>
  <c r="I149" i="43"/>
  <c r="H149" i="43"/>
  <c r="I150" i="44"/>
  <c r="H150" i="44"/>
  <c r="D72" i="39"/>
  <c r="E72" i="39" s="1"/>
  <c r="E73" i="39" s="1"/>
  <c r="G71" i="13"/>
  <c r="I71" i="13" s="1"/>
  <c r="G71" i="39"/>
  <c r="F152" i="13"/>
  <c r="B152" i="13"/>
  <c r="D71" i="37"/>
  <c r="E71" i="37" s="1"/>
  <c r="B150" i="43"/>
  <c r="F150" i="43"/>
  <c r="D71" i="43"/>
  <c r="E71" i="43" s="1"/>
  <c r="D70" i="45"/>
  <c r="E70" i="45" s="1"/>
  <c r="D71" i="41"/>
  <c r="E71" i="41" s="1"/>
  <c r="G70" i="41"/>
  <c r="I70" i="41" s="1"/>
  <c r="H71" i="39"/>
  <c r="E150" i="41"/>
  <c r="F150" i="41" s="1"/>
  <c r="H151" i="13"/>
  <c r="I151" i="13"/>
  <c r="F151" i="44"/>
  <c r="B151" i="44"/>
  <c r="I72" i="31"/>
  <c r="I73" i="31" s="1"/>
  <c r="I71" i="39" l="1"/>
  <c r="B71" i="44"/>
  <c r="E71" i="44"/>
  <c r="F71" i="44" s="1"/>
  <c r="I70" i="44"/>
  <c r="J153" i="31"/>
  <c r="H150" i="38"/>
  <c r="I150" i="38"/>
  <c r="B151" i="37"/>
  <c r="J153" i="27"/>
  <c r="E151" i="38"/>
  <c r="F151" i="38" s="1"/>
  <c r="B151" i="38"/>
  <c r="H152" i="30"/>
  <c r="I152" i="30"/>
  <c r="B154" i="28"/>
  <c r="H154" i="27"/>
  <c r="H155" i="27" s="1"/>
  <c r="I154" i="27"/>
  <c r="E151" i="37"/>
  <c r="F151" i="37" s="1"/>
  <c r="E154" i="28"/>
  <c r="E155" i="28" s="1"/>
  <c r="D151" i="40"/>
  <c r="G150" i="40"/>
  <c r="B153" i="30"/>
  <c r="F153" i="30"/>
  <c r="I150" i="37"/>
  <c r="H150" i="37"/>
  <c r="H153" i="28"/>
  <c r="I153" i="28"/>
  <c r="F154" i="31"/>
  <c r="G154" i="31" s="1"/>
  <c r="H154" i="31" s="1"/>
  <c r="H155" i="31" s="1"/>
  <c r="D151" i="41"/>
  <c r="E151" i="41" s="1"/>
  <c r="G150" i="41"/>
  <c r="D151" i="45"/>
  <c r="E151" i="45" s="1"/>
  <c r="G150" i="45"/>
  <c r="B71" i="38"/>
  <c r="F71" i="38"/>
  <c r="G71" i="38" s="1"/>
  <c r="B70" i="42"/>
  <c r="F70" i="42"/>
  <c r="B72" i="13"/>
  <c r="F71" i="40"/>
  <c r="G71" i="40"/>
  <c r="H71" i="40"/>
  <c r="I71" i="40" s="1"/>
  <c r="B71" i="40"/>
  <c r="B71" i="43"/>
  <c r="F71" i="43"/>
  <c r="H71" i="43" s="1"/>
  <c r="E72" i="13"/>
  <c r="E73" i="13" s="1"/>
  <c r="H150" i="39"/>
  <c r="I150" i="39"/>
  <c r="B152" i="42"/>
  <c r="F70" i="45"/>
  <c r="G70" i="45" s="1"/>
  <c r="B70" i="45"/>
  <c r="F71" i="41"/>
  <c r="G71" i="41" s="1"/>
  <c r="B71" i="41"/>
  <c r="D151" i="43"/>
  <c r="E151" i="43" s="1"/>
  <c r="G150" i="43"/>
  <c r="E152" i="42"/>
  <c r="F152" i="42" s="1"/>
  <c r="B71" i="37"/>
  <c r="F71" i="37"/>
  <c r="G71" i="37" s="1"/>
  <c r="G152" i="13"/>
  <c r="D153" i="13"/>
  <c r="G151" i="44"/>
  <c r="D152" i="44"/>
  <c r="E152" i="44" s="1"/>
  <c r="B72" i="39"/>
  <c r="F72" i="39"/>
  <c r="G72" i="39" s="1"/>
  <c r="G73" i="39" s="1"/>
  <c r="G72" i="30"/>
  <c r="G73" i="30" s="1"/>
  <c r="H72" i="30"/>
  <c r="B151" i="39"/>
  <c r="F151" i="39"/>
  <c r="H151" i="42"/>
  <c r="I151" i="42"/>
  <c r="H71" i="41" l="1"/>
  <c r="H70" i="45"/>
  <c r="G71" i="43"/>
  <c r="H72" i="39"/>
  <c r="D72" i="44"/>
  <c r="H71" i="44"/>
  <c r="G71" i="44"/>
  <c r="F72" i="13"/>
  <c r="E72" i="44"/>
  <c r="E73" i="44" s="1"/>
  <c r="G151" i="38"/>
  <c r="D152" i="38"/>
  <c r="G151" i="37"/>
  <c r="D152" i="37"/>
  <c r="B152" i="37" s="1"/>
  <c r="I154" i="31"/>
  <c r="H150" i="40"/>
  <c r="I150" i="40"/>
  <c r="J154" i="27"/>
  <c r="J155" i="27" s="1"/>
  <c r="J152" i="30"/>
  <c r="J153" i="28"/>
  <c r="G153" i="30"/>
  <c r="D154" i="30"/>
  <c r="B151" i="40"/>
  <c r="I155" i="27"/>
  <c r="F154" i="28"/>
  <c r="G154" i="28" s="1"/>
  <c r="E151" i="40"/>
  <c r="F151" i="40" s="1"/>
  <c r="D153" i="42"/>
  <c r="E153" i="42" s="1"/>
  <c r="G152" i="42"/>
  <c r="I71" i="41"/>
  <c r="D72" i="37"/>
  <c r="D72" i="41"/>
  <c r="I71" i="43"/>
  <c r="I72" i="30"/>
  <c r="I73" i="30" s="1"/>
  <c r="H73" i="30"/>
  <c r="B153" i="13"/>
  <c r="D71" i="42"/>
  <c r="F152" i="44"/>
  <c r="B152" i="44"/>
  <c r="E153" i="13"/>
  <c r="F153" i="13" s="1"/>
  <c r="I150" i="43"/>
  <c r="H150" i="43"/>
  <c r="I70" i="45"/>
  <c r="J154" i="31"/>
  <c r="J155" i="31" s="1"/>
  <c r="I155" i="31"/>
  <c r="I150" i="45"/>
  <c r="H150" i="45"/>
  <c r="H151" i="44"/>
  <c r="I151" i="44"/>
  <c r="I72" i="39"/>
  <c r="I73" i="39" s="1"/>
  <c r="H73" i="39"/>
  <c r="I152" i="13"/>
  <c r="H152" i="13"/>
  <c r="B151" i="43"/>
  <c r="F151" i="43"/>
  <c r="D71" i="45"/>
  <c r="D72" i="40"/>
  <c r="E72" i="40" s="1"/>
  <c r="E73" i="40" s="1"/>
  <c r="H70" i="42"/>
  <c r="D72" i="38"/>
  <c r="F151" i="45"/>
  <c r="B151" i="45"/>
  <c r="I150" i="41"/>
  <c r="H150" i="41"/>
  <c r="G151" i="39"/>
  <c r="D152" i="39"/>
  <c r="H71" i="37"/>
  <c r="I71" i="37" s="1"/>
  <c r="D72" i="43"/>
  <c r="E72" i="43" s="1"/>
  <c r="E73" i="43" s="1"/>
  <c r="G70" i="42"/>
  <c r="H71" i="38"/>
  <c r="I71" i="38" s="1"/>
  <c r="B151" i="41"/>
  <c r="F151" i="41"/>
  <c r="I70" i="42" l="1"/>
  <c r="I71" i="44"/>
  <c r="G72" i="13"/>
  <c r="G73" i="13" s="1"/>
  <c r="H72" i="13"/>
  <c r="F72" i="44"/>
  <c r="H72" i="44" s="1"/>
  <c r="G72" i="44"/>
  <c r="G73" i="44" s="1"/>
  <c r="B72" i="44"/>
  <c r="G151" i="40"/>
  <c r="D152" i="40"/>
  <c r="B152" i="40" s="1"/>
  <c r="I151" i="37"/>
  <c r="H151" i="37"/>
  <c r="I154" i="28"/>
  <c r="H154" i="28"/>
  <c r="H155" i="28" s="1"/>
  <c r="E154" i="30"/>
  <c r="E155" i="30" s="1"/>
  <c r="B154" i="30"/>
  <c r="E152" i="38"/>
  <c r="F152" i="38" s="1"/>
  <c r="B152" i="38"/>
  <c r="H153" i="30"/>
  <c r="I153" i="30"/>
  <c r="E152" i="37"/>
  <c r="F152" i="37" s="1"/>
  <c r="H151" i="38"/>
  <c r="I151" i="38"/>
  <c r="D153" i="44"/>
  <c r="E153" i="44" s="1"/>
  <c r="G152" i="44"/>
  <c r="D154" i="13"/>
  <c r="E154" i="13" s="1"/>
  <c r="E155" i="13" s="1"/>
  <c r="G153" i="13"/>
  <c r="B152" i="39"/>
  <c r="B72" i="41"/>
  <c r="B71" i="42"/>
  <c r="E72" i="41"/>
  <c r="E73" i="41" s="1"/>
  <c r="B72" i="38"/>
  <c r="H151" i="39"/>
  <c r="I151" i="39"/>
  <c r="B71" i="45"/>
  <c r="E71" i="42"/>
  <c r="F71" i="42" s="1"/>
  <c r="B72" i="37"/>
  <c r="E71" i="45"/>
  <c r="F71" i="45" s="1"/>
  <c r="E72" i="37"/>
  <c r="E73" i="37" s="1"/>
  <c r="I152" i="42"/>
  <c r="H152" i="42"/>
  <c r="B72" i="40"/>
  <c r="F72" i="40"/>
  <c r="G72" i="40" s="1"/>
  <c r="G73" i="40" s="1"/>
  <c r="H72" i="40"/>
  <c r="F72" i="43"/>
  <c r="G72" i="43" s="1"/>
  <c r="G73" i="43" s="1"/>
  <c r="B72" i="43"/>
  <c r="G151" i="45"/>
  <c r="D152" i="45"/>
  <c r="E152" i="45" s="1"/>
  <c r="D152" i="43"/>
  <c r="E152" i="43" s="1"/>
  <c r="G151" i="43"/>
  <c r="E152" i="39"/>
  <c r="F152" i="39" s="1"/>
  <c r="G151" i="41"/>
  <c r="D152" i="41"/>
  <c r="E152" i="41" s="1"/>
  <c r="E72" i="38"/>
  <c r="E73" i="38" s="1"/>
  <c r="F153" i="42"/>
  <c r="B153" i="42"/>
  <c r="H73" i="44" l="1"/>
  <c r="I72" i="44"/>
  <c r="I73" i="44" s="1"/>
  <c r="I72" i="13"/>
  <c r="I73" i="13" s="1"/>
  <c r="H73" i="13"/>
  <c r="H72" i="43"/>
  <c r="G152" i="37"/>
  <c r="D153" i="37"/>
  <c r="D153" i="38"/>
  <c r="B153" i="38" s="1"/>
  <c r="G152" i="38"/>
  <c r="J153" i="30"/>
  <c r="E152" i="40"/>
  <c r="F152" i="40" s="1"/>
  <c r="J154" i="28"/>
  <c r="J155" i="28" s="1"/>
  <c r="I155" i="28"/>
  <c r="F154" i="30"/>
  <c r="G154" i="30" s="1"/>
  <c r="H151" i="40"/>
  <c r="I151" i="40"/>
  <c r="D153" i="39"/>
  <c r="E153" i="39" s="1"/>
  <c r="G152" i="39"/>
  <c r="D72" i="45"/>
  <c r="E72" i="45" s="1"/>
  <c r="E73" i="45" s="1"/>
  <c r="G71" i="45"/>
  <c r="H71" i="45"/>
  <c r="G153" i="42"/>
  <c r="D154" i="42"/>
  <c r="B154" i="13"/>
  <c r="F154" i="13"/>
  <c r="G154" i="13" s="1"/>
  <c r="I72" i="40"/>
  <c r="I73" i="40" s="1"/>
  <c r="H73" i="40"/>
  <c r="F72" i="37"/>
  <c r="D72" i="42"/>
  <c r="I152" i="44"/>
  <c r="H152" i="44"/>
  <c r="F152" i="43"/>
  <c r="B152" i="43"/>
  <c r="H71" i="42"/>
  <c r="B153" i="44"/>
  <c r="F153" i="44"/>
  <c r="B152" i="45"/>
  <c r="F152" i="45"/>
  <c r="I151" i="45"/>
  <c r="H151" i="45"/>
  <c r="F72" i="38"/>
  <c r="G71" i="42"/>
  <c r="I151" i="41"/>
  <c r="H151" i="41"/>
  <c r="F72" i="41"/>
  <c r="I72" i="43"/>
  <c r="I73" i="43" s="1"/>
  <c r="H73" i="43"/>
  <c r="I151" i="43"/>
  <c r="H151" i="43"/>
  <c r="B152" i="41"/>
  <c r="F152" i="41"/>
  <c r="I153" i="13"/>
  <c r="H153" i="13"/>
  <c r="I71" i="45" l="1"/>
  <c r="I71" i="42"/>
  <c r="G152" i="40"/>
  <c r="D153" i="40"/>
  <c r="B153" i="40" s="1"/>
  <c r="I152" i="38"/>
  <c r="H152" i="38"/>
  <c r="H154" i="30"/>
  <c r="H155" i="30" s="1"/>
  <c r="I154" i="30"/>
  <c r="E153" i="37"/>
  <c r="F153" i="37" s="1"/>
  <c r="B153" i="37"/>
  <c r="E153" i="38"/>
  <c r="F153" i="38" s="1"/>
  <c r="I152" i="37"/>
  <c r="H152" i="37"/>
  <c r="B72" i="42"/>
  <c r="H153" i="42"/>
  <c r="I153" i="42"/>
  <c r="G72" i="37"/>
  <c r="G73" i="37" s="1"/>
  <c r="H72" i="37"/>
  <c r="G152" i="41"/>
  <c r="D153" i="41"/>
  <c r="E153" i="41" s="1"/>
  <c r="D153" i="43"/>
  <c r="E153" i="43" s="1"/>
  <c r="G152" i="43"/>
  <c r="G153" i="44"/>
  <c r="D154" i="44"/>
  <c r="H154" i="13"/>
  <c r="H155" i="13" s="1"/>
  <c r="I154" i="13"/>
  <c r="I155" i="13" s="1"/>
  <c r="B72" i="45"/>
  <c r="F72" i="45"/>
  <c r="G72" i="45" s="1"/>
  <c r="G73" i="45" s="1"/>
  <c r="B154" i="42"/>
  <c r="H152" i="39"/>
  <c r="I152" i="39"/>
  <c r="H72" i="41"/>
  <c r="G72" i="41"/>
  <c r="G73" i="41" s="1"/>
  <c r="D153" i="45"/>
  <c r="E153" i="45" s="1"/>
  <c r="G152" i="45"/>
  <c r="H72" i="38"/>
  <c r="G72" i="38"/>
  <c r="G73" i="38" s="1"/>
  <c r="E72" i="42"/>
  <c r="E73" i="42" s="1"/>
  <c r="E154" i="42"/>
  <c r="E155" i="42" s="1"/>
  <c r="B153" i="39"/>
  <c r="F153" i="39"/>
  <c r="H72" i="45" l="1"/>
  <c r="G153" i="37"/>
  <c r="D154" i="37"/>
  <c r="G153" i="38"/>
  <c r="D154" i="38"/>
  <c r="J154" i="30"/>
  <c r="J155" i="30" s="1"/>
  <c r="I155" i="30"/>
  <c r="E153" i="40"/>
  <c r="F153" i="40" s="1"/>
  <c r="H152" i="40"/>
  <c r="I152" i="40"/>
  <c r="H152" i="43"/>
  <c r="I152" i="43"/>
  <c r="I72" i="41"/>
  <c r="I73" i="41" s="1"/>
  <c r="H73" i="41"/>
  <c r="I72" i="45"/>
  <c r="I73" i="45" s="1"/>
  <c r="H73" i="45"/>
  <c r="B153" i="43"/>
  <c r="F153" i="43"/>
  <c r="H153" i="44"/>
  <c r="I153" i="44"/>
  <c r="F154" i="42"/>
  <c r="G154" i="42" s="1"/>
  <c r="H152" i="45"/>
  <c r="I152" i="45"/>
  <c r="I72" i="37"/>
  <c r="I73" i="37" s="1"/>
  <c r="H73" i="37"/>
  <c r="I72" i="38"/>
  <c r="I73" i="38" s="1"/>
  <c r="H73" i="38"/>
  <c r="B153" i="45"/>
  <c r="F153" i="45"/>
  <c r="B153" i="41"/>
  <c r="F153" i="41"/>
  <c r="B154" i="44"/>
  <c r="D154" i="39"/>
  <c r="G153" i="39"/>
  <c r="E154" i="44"/>
  <c r="E155" i="44" s="1"/>
  <c r="H152" i="41"/>
  <c r="I152" i="41"/>
  <c r="F72" i="42"/>
  <c r="D154" i="40" l="1"/>
  <c r="G153" i="40"/>
  <c r="B154" i="38"/>
  <c r="I153" i="38"/>
  <c r="H153" i="38"/>
  <c r="E154" i="37"/>
  <c r="E155" i="37" s="1"/>
  <c r="B154" i="37"/>
  <c r="E154" i="38"/>
  <c r="E155" i="38" s="1"/>
  <c r="H153" i="37"/>
  <c r="I153" i="37"/>
  <c r="F154" i="44"/>
  <c r="G154" i="44" s="1"/>
  <c r="I154" i="44" s="1"/>
  <c r="I155" i="44" s="1"/>
  <c r="D154" i="43"/>
  <c r="E154" i="43" s="1"/>
  <c r="E155" i="43" s="1"/>
  <c r="G153" i="43"/>
  <c r="I154" i="42"/>
  <c r="I155" i="42" s="1"/>
  <c r="H154" i="42"/>
  <c r="H155" i="42" s="1"/>
  <c r="B154" i="39"/>
  <c r="G153" i="41"/>
  <c r="D154" i="41"/>
  <c r="E154" i="41" s="1"/>
  <c r="E155" i="41" s="1"/>
  <c r="G153" i="45"/>
  <c r="D154" i="45"/>
  <c r="E154" i="45" s="1"/>
  <c r="E155" i="45" s="1"/>
  <c r="H72" i="42"/>
  <c r="G72" i="42"/>
  <c r="G73" i="42" s="1"/>
  <c r="E154" i="39"/>
  <c r="E155" i="39" s="1"/>
  <c r="H153" i="39"/>
  <c r="I153" i="39"/>
  <c r="H154" i="44" l="1"/>
  <c r="H155" i="44" s="1"/>
  <c r="F154" i="38"/>
  <c r="G154" i="38" s="1"/>
  <c r="H153" i="40"/>
  <c r="I153" i="40"/>
  <c r="F154" i="37"/>
  <c r="G154" i="37" s="1"/>
  <c r="E154" i="40"/>
  <c r="E155" i="40" s="1"/>
  <c r="B154" i="40"/>
  <c r="F154" i="39"/>
  <c r="G154" i="39" s="1"/>
  <c r="I153" i="41"/>
  <c r="H153" i="41"/>
  <c r="H153" i="45"/>
  <c r="I153" i="45"/>
  <c r="F154" i="45"/>
  <c r="G154" i="45" s="1"/>
  <c r="B154" i="45"/>
  <c r="H153" i="43"/>
  <c r="I153" i="43"/>
  <c r="I72" i="42"/>
  <c r="I73" i="42" s="1"/>
  <c r="H73" i="42"/>
  <c r="H154" i="39"/>
  <c r="H155" i="39" s="1"/>
  <c r="I154" i="39"/>
  <c r="I155" i="39" s="1"/>
  <c r="F154" i="41"/>
  <c r="G154" i="41" s="1"/>
  <c r="B154" i="41"/>
  <c r="F154" i="43"/>
  <c r="G154" i="43" s="1"/>
  <c r="B154" i="43"/>
  <c r="F154" i="40" l="1"/>
  <c r="G154" i="40" s="1"/>
  <c r="H154" i="37"/>
  <c r="H155" i="37" s="1"/>
  <c r="I154" i="37"/>
  <c r="I155" i="37" s="1"/>
  <c r="H154" i="40"/>
  <c r="H155" i="40" s="1"/>
  <c r="I154" i="40"/>
  <c r="I155" i="40" s="1"/>
  <c r="I154" i="38"/>
  <c r="I155" i="38" s="1"/>
  <c r="H154" i="38"/>
  <c r="H155" i="38" s="1"/>
  <c r="I154" i="41"/>
  <c r="I155" i="41" s="1"/>
  <c r="H154" i="41"/>
  <c r="H155" i="41" s="1"/>
  <c r="H154" i="43"/>
  <c r="H155" i="43" s="1"/>
  <c r="I154" i="43"/>
  <c r="I155" i="43" s="1"/>
  <c r="H154" i="45"/>
  <c r="H155" i="45" s="1"/>
  <c r="I154" i="45"/>
  <c r="I155" i="45" s="1"/>
  <c r="L18" i="17" l="1"/>
  <c r="V18" i="17" s="1"/>
  <c r="V47" i="17" l="1"/>
  <c r="L47" i="17"/>
  <c r="Q26" i="17" l="1"/>
  <c r="R26" i="17" s="1"/>
  <c r="T26" i="17" s="1"/>
  <c r="Q27" i="17"/>
  <c r="R27" i="17" s="1"/>
  <c r="T27" i="17" s="1"/>
  <c r="Q21" i="17"/>
  <c r="R21" i="17" s="1"/>
  <c r="T21" i="17" s="1"/>
  <c r="Q35" i="17"/>
  <c r="R35" i="17" s="1"/>
  <c r="T35" i="17" s="1"/>
  <c r="Q19" i="17"/>
  <c r="R19" i="17" s="1"/>
  <c r="T19" i="17" s="1"/>
  <c r="Q37" i="17"/>
  <c r="R37" i="17" s="1"/>
  <c r="T37" i="17" s="1"/>
  <c r="Q44" i="17"/>
  <c r="R44" i="17" s="1"/>
  <c r="T44" i="17" s="1"/>
  <c r="Q20" i="17"/>
  <c r="R20" i="17" s="1"/>
  <c r="T20" i="17" s="1"/>
  <c r="Q33" i="17"/>
  <c r="R33" i="17" s="1"/>
  <c r="T33" i="17" s="1"/>
  <c r="Q36" i="17"/>
  <c r="R36" i="17" s="1"/>
  <c r="T36" i="17" s="1"/>
  <c r="Q25" i="17"/>
  <c r="R25" i="17" s="1"/>
  <c r="T25" i="17" s="1"/>
  <c r="Q34" i="17"/>
  <c r="R34" i="17" s="1"/>
  <c r="T34" i="17" s="1"/>
  <c r="Q39" i="17"/>
  <c r="R39" i="17" s="1"/>
  <c r="T39" i="17" s="1"/>
  <c r="Q43" i="17"/>
  <c r="R43" i="17" s="1"/>
  <c r="T43" i="17" s="1"/>
  <c r="Q30" i="17"/>
  <c r="R30" i="17" s="1"/>
  <c r="T30" i="17" s="1"/>
  <c r="Q29" i="17"/>
  <c r="R29" i="17" s="1"/>
  <c r="T29" i="17" s="1"/>
  <c r="Q41" i="17"/>
  <c r="R41" i="17" s="1"/>
  <c r="T41" i="17" s="1"/>
  <c r="Q31" i="17"/>
  <c r="R31" i="17" s="1"/>
  <c r="T31" i="17" s="1"/>
  <c r="Q40" i="17"/>
  <c r="R40" i="17" s="1"/>
  <c r="T40" i="17" s="1"/>
  <c r="Q32" i="17"/>
  <c r="R32" i="17" s="1"/>
  <c r="T32" i="17" s="1"/>
  <c r="Q38" i="17"/>
  <c r="R38" i="17" s="1"/>
  <c r="T38" i="17" s="1"/>
  <c r="Q28" i="17"/>
  <c r="R28" i="17" s="1"/>
  <c r="T28" i="17" s="1"/>
  <c r="Q23" i="17"/>
  <c r="R23" i="17" s="1"/>
  <c r="T23" i="17" s="1"/>
  <c r="Q42" i="17"/>
  <c r="R42" i="17" s="1"/>
  <c r="T42" i="17" s="1"/>
  <c r="Q22" i="17"/>
  <c r="R22" i="17" s="1"/>
  <c r="T22" i="17" s="1"/>
  <c r="Q24" i="17"/>
  <c r="R24" i="17" s="1"/>
  <c r="T24" i="17" s="1"/>
  <c r="Q18" i="17"/>
  <c r="Q48" i="17" l="1"/>
  <c r="R18" i="17"/>
  <c r="R47" i="17" l="1"/>
  <c r="T18" i="17"/>
  <c r="T47" i="17" s="1"/>
</calcChain>
</file>

<file path=xl/comments1.xml><?xml version="1.0" encoding="utf-8"?>
<comments xmlns="http://schemas.openxmlformats.org/spreadsheetml/2006/main">
  <authors>
    <author>R.Pennybaker</author>
    <author>AEP</author>
    <author>rlp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<sst xmlns="http://schemas.openxmlformats.org/spreadsheetml/2006/main" count="3575" uniqueCount="357">
  <si>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</si>
  <si>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</si>
  <si>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</si>
  <si>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</si>
  <si>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</si>
  <si>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</si>
  <si>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</si>
  <si>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</si>
  <si>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</si>
  <si>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</si>
  <si>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</si>
  <si>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</si>
  <si>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</si>
  <si>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</si>
  <si>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</si>
  <si>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</si>
  <si>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</si>
  <si>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</si>
  <si>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</si>
  <si>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</si>
  <si>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</si>
  <si>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</si>
  <si>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</si>
  <si>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</si>
  <si>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</si>
  <si>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</si>
  <si>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</si>
  <si>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</si>
  <si>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</si>
  <si>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</si>
  <si>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</si>
  <si>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</si>
  <si>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</si>
  <si>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</si>
  <si>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</si>
  <si>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</si>
  <si>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</si>
  <si>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</si>
  <si>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</si>
  <si>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</si>
  <si>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</si>
  <si>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</si>
  <si>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</si>
  <si>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</si>
  <si>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</si>
  <si>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</si>
  <si>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</si>
  <si>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</si>
  <si>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</si>
  <si>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</si>
  <si>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</si>
  <si>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</si>
  <si>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</si>
  <si>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</si>
  <si>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</si>
  <si>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</si>
  <si>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</si>
  <si>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</si>
  <si>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</si>
  <si>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</si>
  <si>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</si>
  <si>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</si>
  <si>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</si>
  <si>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</si>
  <si>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</si>
  <si>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</si>
  <si>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</si>
  <si>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</si>
  <si>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</si>
  <si>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</si>
  <si>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</si>
  <si>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</si>
  <si>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</si>
  <si>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</si>
  <si>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</si>
  <si>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</si>
  <si>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</si>
  <si>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</si>
  <si>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</si>
  <si>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</si>
  <si>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</si>
  <si>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</si>
  <si>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</si>
  <si>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</si>
  <si>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</si>
  <si>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</si>
  <si>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</si>
  <si>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</si>
  <si>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</si>
  <si>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</si>
  <si>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</si>
  <si>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</si>
  <si>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</si>
  <si>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</si>
  <si>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</si>
  <si>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</si>
  <si>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</si>
  <si>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</si>
  <si>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</si>
  <si>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</si>
  <si>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</si>
  <si>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</si>
  <si>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</si>
  <si>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</si>
  <si>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</si>
  <si>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</si>
  <si>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</si>
  <si>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</si>
  <si>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</si>
  <si>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</si>
  <si>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</si>
  <si>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</si>
  <si>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</si>
  <si>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</si>
  <si>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</si>
  <si>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</si>
  <si>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</si>
  <si>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</si>
  <si>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</si>
  <si>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</si>
  <si>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</si>
  <si>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</si>
  <si>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</si>
  <si>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</si>
  <si>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</si>
  <si>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</si>
  <si>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</si>
  <si>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</si>
  <si>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</si>
  <si>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</si>
  <si>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</si>
  <si>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</si>
  <si>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</si>
  <si>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</si>
  <si>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</si>
  <si>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</si>
  <si>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</si>
  <si>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</si>
  <si>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</si>
  <si>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</si>
  <si>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</si>
  <si>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</si>
  <si>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</si>
  <si>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</si>
  <si>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</si>
  <si>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</si>
  <si>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</si>
  <si>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</si>
  <si>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</si>
  <si>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</si>
  <si>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</si>
  <si>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</si>
  <si>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</si>
  <si>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</si>
  <si>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</si>
  <si>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</si>
  <si>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</si>
  <si>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</si>
  <si>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</si>
  <si>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</si>
  <si>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</si>
  <si>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</si>
  <si>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</si>
  <si>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</si>
  <si>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</si>
  <si>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</si>
  <si>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</si>
  <si>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</si>
  <si>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</si>
  <si>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</si>
  <si>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</si>
  <si>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</si>
  <si>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</si>
  <si>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</si>
  <si>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</si>
  <si>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</si>
  <si>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</si>
  <si>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</si>
  <si>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</si>
  <si>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</si>
  <si>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</si>
  <si>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</si>
  <si>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</si>
  <si>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</si>
  <si>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</si>
  <si>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</si>
  <si>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</si>
  <si>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Base ARR
</t>
    </r>
    <r>
      <rPr>
        <sz val="10"/>
        <rFont val="Arial"/>
        <family val="2"/>
      </rPr>
      <t>(WS-F)</t>
    </r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</si>
  <si>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</si>
  <si>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</si>
  <si>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</si>
  <si>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</si>
  <si>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</si>
  <si>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</si>
  <si>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</si>
  <si>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</si>
  <si>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</si>
  <si>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</si>
  <si>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</si>
  <si>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</si>
  <si>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</si>
  <si>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</si>
  <si>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</si>
  <si>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</si>
  <si>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</si>
  <si>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</si>
  <si>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</si>
  <si>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</si>
  <si>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</si>
  <si>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</si>
  <si>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</si>
  <si>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</si>
  <si>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</si>
  <si>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</si>
  <si>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</si>
  <si>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</si>
  <si>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</si>
  <si>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</si>
  <si>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</si>
  <si>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</si>
  <si>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</si>
  <si>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</si>
  <si>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</si>
  <si>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</si>
  <si>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</si>
  <si>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</si>
  <si>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</si>
  <si>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</si>
  <si>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</si>
  <si>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</si>
  <si>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</si>
  <si>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</si>
  <si>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</si>
  <si>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</si>
  <si>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</si>
  <si>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</si>
  <si>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</si>
  <si>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</si>
  <si>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</si>
  <si>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</si>
  <si>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</si>
  <si>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</si>
  <si>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</si>
  <si>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</si>
  <si>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</si>
  <si>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</si>
  <si>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</si>
  <si>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</si>
  <si>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</si>
  <si>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</si>
  <si>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</si>
  <si>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</si>
  <si>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</si>
  <si>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</si>
  <si>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</si>
  <si>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TP1300201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</si>
  <si>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</si>
  <si>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</si>
  <si>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</si>
  <si>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</si>
  <si>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</si>
  <si>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</si>
  <si>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</si>
  <si>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</si>
  <si>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</si>
  <si>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</si>
  <si>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</si>
  <si>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</si>
  <si>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</si>
  <si>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</si>
  <si>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</si>
  <si>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</si>
  <si>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</si>
  <si>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</si>
  <si>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 xml:space="preserve">   Excess DFIT Adjustment  (TCOS, ln 106)</t>
  </si>
  <si>
    <t xml:space="preserve">   Tax Effect of Permanent Differences Adj  (TCOS, ln 107)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</si>
  <si>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</si>
  <si>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</si>
  <si>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</si>
  <si>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</si>
  <si>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</si>
  <si>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>Apportionment Factor to Texas (ln12)</t>
  </si>
  <si>
    <t>Apportioned Texas Revenues</t>
  </si>
  <si>
    <t>Taxable Percentage of Revenue (22%)</t>
  </si>
  <si>
    <t>Taxable, Apportioned Margin</t>
  </si>
  <si>
    <t>Texas Gross Margin Tax Rate (1%)</t>
  </si>
  <si>
    <t>Texas Gross Margin Tax Expense</t>
  </si>
  <si>
    <t xml:space="preserve">Gross-up Required for Texas Gross Margin Expense </t>
  </si>
  <si>
    <t>Elk City 138 KV Move Load</t>
  </si>
  <si>
    <t>Fort Townson-Valliant Line Rebuild</t>
  </si>
  <si>
    <t>Duncan-Comanche Tap 69 KV Rebuild and Duncan station upgrades</t>
  </si>
  <si>
    <t>P.023</t>
  </si>
  <si>
    <t>P.024</t>
  </si>
  <si>
    <t>P.025</t>
  </si>
  <si>
    <t xml:space="preserve">  SPP Project ID = 936</t>
  </si>
  <si>
    <t xml:space="preserve">  SPP Project ID = 30997</t>
  </si>
  <si>
    <t xml:space="preserve">  SPP Project ID = 30619</t>
  </si>
  <si>
    <t xml:space="preserve">  SPP Project ID = 31003</t>
  </si>
  <si>
    <t xml:space="preserve">  SPP Project ID = 31005</t>
  </si>
  <si>
    <t xml:space="preserve">  SPP Project ID = 31058</t>
  </si>
  <si>
    <t xml:space="preserve">  SPP Project ID = 31009 &amp; 31039</t>
  </si>
  <si>
    <t xml:space="preserve">  SPP Project ID = 220</t>
  </si>
  <si>
    <t xml:space="preserve">  SPP Project ID = 230</t>
  </si>
  <si>
    <t xml:space="preserve">  SPP Project ID = 112 &amp; 177</t>
  </si>
  <si>
    <t xml:space="preserve">  SPP Project ID = 106 &amp; 119</t>
  </si>
  <si>
    <t xml:space="preserve">  SPP Project ID = 30001</t>
  </si>
  <si>
    <t xml:space="preserve">  SPP Project ID = 110 &amp; 657</t>
  </si>
  <si>
    <t xml:space="preserve">  SPP Project ID = 118</t>
  </si>
  <si>
    <t xml:space="preserve">  SPP Project ID = 3 &amp; 4</t>
  </si>
  <si>
    <t xml:space="preserve">  SPP Project ID = 46</t>
  </si>
  <si>
    <t xml:space="preserve">  SPP Project ID = 289</t>
  </si>
  <si>
    <t xml:space="preserve">  SPP Project ID = 446, 454, 902 &amp; 911</t>
  </si>
  <si>
    <t xml:space="preserve">  SPP Project ID = 767</t>
  </si>
  <si>
    <t xml:space="preserve">  SPP Project ID = 295</t>
  </si>
  <si>
    <t xml:space="preserve">  SPP Project ID = 770</t>
  </si>
  <si>
    <t>Projected Year</t>
  </si>
  <si>
    <t xml:space="preserve">   ROE w/o incentives  (TCOS, ln 141)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</si>
  <si>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</si>
  <si>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</si>
  <si>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</si>
  <si>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</si>
  <si>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</si>
  <si>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</si>
  <si>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</si>
  <si>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</si>
  <si>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</si>
  <si>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</si>
  <si>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</si>
  <si>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 xml:space="preserve">   FCR less Depreciation  (TCOS, ln 10)</t>
  </si>
  <si>
    <t>Transmission Plant @ Beginning of Period (Worksheet A ln 9 col. ((D))</t>
  </si>
  <si>
    <t>Transmission Plant @ End of Period (Worksheet A ln 9 col. ((C))</t>
  </si>
  <si>
    <t xml:space="preserve">Transmission Plant Average Balance for 2018 </t>
  </si>
  <si>
    <t>Annual Depreciation Expense  (TCOS, ln 84)</t>
  </si>
  <si>
    <t>Projected ADJUSTED ARR from Prior Update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</si>
  <si>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</si>
  <si>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As Billed
by SPP
</t>
    </r>
    <r>
      <rPr>
        <sz val="10"/>
        <rFont val="Arial"/>
        <family val="2"/>
      </rPr>
      <t>(for Prior Yr
T-Service)</t>
    </r>
  </si>
  <si>
    <t>Interest</t>
  </si>
  <si>
    <t>COLLECTION Adjustment</t>
  </si>
  <si>
    <t>Tulsa Southeast - E. 61st St 138 kV Rebuild</t>
  </si>
  <si>
    <t xml:space="preserve">  SPP Project ID = 41202</t>
  </si>
  <si>
    <t xml:space="preserve">  SPP Project ID = 41233</t>
  </si>
  <si>
    <t>Broken Arrow North-Lynn Lane East 138 kV</t>
  </si>
  <si>
    <t>P.026</t>
  </si>
  <si>
    <t>P.027</t>
  </si>
  <si>
    <t>True-Up ARR CY 2017 From Worksheet G  (includes adjustment for SPP Collections)</t>
  </si>
  <si>
    <t xml:space="preserve">  SPP Project ID = 30748</t>
  </si>
  <si>
    <t xml:space="preserve">  SPP Project ID = 30746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</si>
  <si>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</si>
  <si>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</si>
  <si>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</si>
  <si>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</si>
  <si>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</si>
  <si>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</si>
  <si>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</si>
  <si>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</si>
  <si>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 xml:space="preserve">Transmission Plant Average Balance for 2017 </t>
  </si>
  <si>
    <t>Annual Depreciation Expense  (True-Up TCOS, ln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</si>
</sst>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0.0000%"/>
  </numFmts>
  <fonts count="88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33CC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23" fillId="21" borderId="4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3" fontId="7" fillId="0" borderId="0"/>
    <xf numFmtId="0" fontId="81" fillId="0" borderId="0"/>
    <xf numFmtId="169" fontId="33" fillId="0" borderId="0" applyProtection="0"/>
    <xf numFmtId="0" fontId="33" fillId="23" borderId="8" applyNumberFormat="0" applyFont="0" applyAlignment="0" applyProtection="0"/>
    <xf numFmtId="0" fontId="34" fillId="20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</cellStyleXfs>
  <cellXfs count="51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59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70" fontId="1" fillId="0" borderId="0" xfId="59" applyNumberFormat="1"/>
    <xf numFmtId="0" fontId="7" fillId="0" borderId="0" xfId="117" applyNumberFormat="1" applyFont="1" applyBorder="1" applyAlignment="1" applyProtection="1">
      <protection locked="0"/>
    </xf>
    <xf numFmtId="3" fontId="7" fillId="0" borderId="0" xfId="117" applyNumberFormat="1" applyFont="1" applyAlignment="1" applyProtection="1">
      <protection locked="0"/>
    </xf>
    <xf numFmtId="10" fontId="7" fillId="0" borderId="0" xfId="117" applyNumberFormat="1" applyFont="1" applyAlignment="1" applyProtection="1">
      <protection locked="0"/>
    </xf>
    <xf numFmtId="166" fontId="7" fillId="0" borderId="0" xfId="117" applyNumberFormat="1" applyFont="1" applyAlignment="1" applyProtection="1">
      <protection locked="0"/>
    </xf>
    <xf numFmtId="43" fontId="7" fillId="0" borderId="0" xfId="59" applyFont="1" applyAlignment="1" applyProtection="1">
      <protection locked="0"/>
    </xf>
    <xf numFmtId="169" fontId="7" fillId="0" borderId="0" xfId="117" applyFont="1" applyAlignment="1" applyProtection="1">
      <protection locked="0"/>
    </xf>
    <xf numFmtId="169" fontId="7" fillId="0" borderId="0" xfId="117" applyFont="1" applyBorder="1" applyAlignment="1" applyProtection="1">
      <protection locked="0"/>
    </xf>
    <xf numFmtId="0" fontId="7" fillId="0" borderId="0" xfId="0" applyFont="1" applyFill="1"/>
    <xf numFmtId="0" fontId="7" fillId="26" borderId="0" xfId="59" applyNumberFormat="1" applyFont="1" applyFill="1" applyAlignment="1" applyProtection="1">
      <protection locked="0"/>
    </xf>
    <xf numFmtId="10" fontId="7" fillId="0" borderId="0" xfId="117" applyNumberFormat="1" applyFont="1" applyFill="1" applyAlignment="1" applyProtection="1">
      <alignment horizontal="right"/>
      <protection locked="0"/>
    </xf>
    <xf numFmtId="3" fontId="39" fillId="0" borderId="0" xfId="117" applyNumberFormat="1" applyFont="1" applyAlignment="1" applyProtection="1">
      <protection locked="0"/>
    </xf>
    <xf numFmtId="0" fontId="7" fillId="0" borderId="0" xfId="0" applyFont="1" applyFill="1" applyBorder="1"/>
    <xf numFmtId="3" fontId="48" fillId="0" borderId="0" xfId="117" applyNumberFormat="1" applyFont="1" applyAlignment="1" applyProtection="1">
      <alignment horizontal="center"/>
      <protection locked="0"/>
    </xf>
    <xf numFmtId="10" fontId="48" fillId="0" borderId="0" xfId="117" applyNumberFormat="1" applyFont="1" applyFill="1" applyAlignment="1" applyProtection="1">
      <alignment horizontal="center"/>
      <protection locked="0"/>
    </xf>
    <xf numFmtId="0" fontId="7" fillId="0" borderId="0" xfId="117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 horizontal="center"/>
    </xf>
    <xf numFmtId="166" fontId="7" fillId="0" borderId="0" xfId="117" applyNumberFormat="1" applyFont="1" applyAlignment="1" applyProtection="1">
      <alignment horizontal="center"/>
      <protection locked="0"/>
    </xf>
    <xf numFmtId="167" fontId="7" fillId="0" borderId="0" xfId="117" applyNumberFormat="1" applyFont="1" applyFill="1" applyAlignment="1" applyProtection="1">
      <protection locked="0"/>
    </xf>
    <xf numFmtId="165" fontId="7" fillId="0" borderId="0" xfId="117" applyNumberFormat="1" applyFont="1" applyAlignment="1" applyProtection="1">
      <alignment horizontal="center"/>
      <protection locked="0"/>
    </xf>
    <xf numFmtId="165" fontId="7" fillId="0" borderId="0" xfId="117" applyNumberFormat="1" applyFont="1" applyBorder="1" applyAlignment="1" applyProtection="1">
      <alignment horizontal="center"/>
      <protection locked="0"/>
    </xf>
    <xf numFmtId="169" fontId="7" fillId="0" borderId="13" xfId="117" applyFont="1" applyBorder="1" applyAlignment="1" applyProtection="1">
      <protection locked="0"/>
    </xf>
    <xf numFmtId="0" fontId="7" fillId="0" borderId="0" xfId="117" applyNumberFormat="1" applyFont="1" applyBorder="1" applyAlignment="1" applyProtection="1">
      <alignment horizontal="center"/>
      <protection locked="0"/>
    </xf>
    <xf numFmtId="3" fontId="7" fillId="0" borderId="14" xfId="117" applyNumberFormat="1" applyFont="1" applyBorder="1" applyAlignment="1" applyProtection="1">
      <protection locked="0"/>
    </xf>
    <xf numFmtId="0" fontId="7" fillId="0" borderId="0" xfId="117" applyNumberFormat="1" applyFont="1" applyAlignment="1" applyProtection="1">
      <alignment horizontal="center"/>
      <protection locked="0"/>
    </xf>
    <xf numFmtId="41" fontId="7" fillId="0" borderId="0" xfId="117" applyNumberFormat="1" applyFont="1" applyAlignment="1" applyProtection="1">
      <protection locked="0"/>
    </xf>
    <xf numFmtId="41" fontId="7" fillId="0" borderId="0" xfId="117" applyNumberFormat="1" applyFont="1" applyAlignment="1" applyProtection="1">
      <alignment horizontal="center"/>
      <protection locked="0"/>
    </xf>
    <xf numFmtId="41" fontId="7" fillId="0" borderId="0" xfId="117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7" fillId="0" borderId="0" xfId="117" applyNumberFormat="1" applyFont="1" applyBorder="1" applyAlignment="1" applyProtection="1">
      <alignment horizontal="right"/>
      <protection locked="0"/>
    </xf>
    <xf numFmtId="167" fontId="48" fillId="0" borderId="0" xfId="117" applyNumberFormat="1" applyFont="1" applyFill="1" applyAlignment="1" applyProtection="1">
      <protection locked="0"/>
    </xf>
    <xf numFmtId="165" fontId="15" fillId="0" borderId="15" xfId="117" applyNumberFormat="1" applyFont="1" applyBorder="1" applyAlignment="1" applyProtection="1">
      <alignment horizontal="center"/>
      <protection locked="0"/>
    </xf>
    <xf numFmtId="0" fontId="7" fillId="0" borderId="6" xfId="117" applyNumberFormat="1" applyFont="1" applyBorder="1" applyAlignment="1" applyProtection="1">
      <alignment horizontal="center"/>
      <protection locked="0"/>
    </xf>
    <xf numFmtId="170" fontId="7" fillId="0" borderId="6" xfId="117" applyNumberFormat="1" applyFont="1" applyBorder="1" applyAlignment="1" applyProtection="1">
      <alignment horizontal="center"/>
      <protection locked="0"/>
    </xf>
    <xf numFmtId="171" fontId="0" fillId="0" borderId="16" xfId="0" applyNumberFormat="1" applyBorder="1"/>
    <xf numFmtId="3" fontId="7" fillId="0" borderId="0" xfId="117" applyNumberFormat="1" applyFont="1" applyAlignment="1" applyProtection="1">
      <alignment horizontal="right"/>
      <protection locked="0"/>
    </xf>
    <xf numFmtId="10" fontId="7" fillId="0" borderId="0" xfId="117" applyNumberFormat="1" applyFont="1" applyFill="1" applyAlignment="1" applyProtection="1">
      <alignment horizontal="left"/>
      <protection locked="0"/>
    </xf>
    <xf numFmtId="41" fontId="7" fillId="0" borderId="0" xfId="117" applyNumberFormat="1" applyFont="1" applyBorder="1" applyAlignment="1" applyProtection="1">
      <protection locked="0"/>
    </xf>
    <xf numFmtId="0" fontId="39" fillId="0" borderId="0" xfId="0" applyFont="1"/>
    <xf numFmtId="41" fontId="7" fillId="0" borderId="0" xfId="117" applyNumberFormat="1" applyFont="1" applyFill="1" applyAlignment="1" applyProtection="1">
      <protection locked="0"/>
    </xf>
    <xf numFmtId="170" fontId="0" fillId="0" borderId="0" xfId="0" applyNumberFormat="1"/>
    <xf numFmtId="41" fontId="7" fillId="0" borderId="0" xfId="117" quotePrefix="1" applyNumberFormat="1" applyFont="1" applyBorder="1" applyAlignment="1" applyProtection="1">
      <protection locked="0"/>
    </xf>
    <xf numFmtId="41" fontId="7" fillId="0" borderId="0" xfId="117" applyNumberFormat="1" applyFont="1" applyFill="1" applyBorder="1" applyAlignment="1" applyProtection="1">
      <alignment horizontal="right"/>
      <protection locked="0"/>
    </xf>
    <xf numFmtId="172" fontId="7" fillId="0" borderId="11" xfId="117" applyNumberFormat="1" applyFont="1" applyBorder="1" applyAlignment="1" applyProtection="1">
      <protection locked="0"/>
    </xf>
    <xf numFmtId="164" fontId="7" fillId="0" borderId="0" xfId="117" applyNumberFormat="1" applyFont="1" applyFill="1" applyBorder="1" applyAlignment="1" applyProtection="1">
      <alignment horizontal="left"/>
      <protection locked="0"/>
    </xf>
    <xf numFmtId="164" fontId="7" fillId="0" borderId="0" xfId="117" applyNumberFormat="1" applyFont="1" applyBorder="1" applyAlignment="1" applyProtection="1">
      <alignment horizontal="left"/>
      <protection locked="0"/>
    </xf>
    <xf numFmtId="3" fontId="7" fillId="0" borderId="0" xfId="117" applyNumberFormat="1" applyFont="1" applyAlignment="1" applyProtection="1">
      <alignment vertical="center" wrapText="1"/>
      <protection locked="0"/>
    </xf>
    <xf numFmtId="41" fontId="7" fillId="0" borderId="0" xfId="117" applyNumberFormat="1" applyFont="1" applyBorder="1" applyAlignment="1" applyProtection="1">
      <alignment vertical="center"/>
      <protection locked="0"/>
    </xf>
    <xf numFmtId="41" fontId="7" fillId="0" borderId="0" xfId="117" applyNumberFormat="1" applyFont="1" applyBorder="1" applyAlignment="1" applyProtection="1">
      <alignment horizontal="center" vertical="center"/>
      <protection locked="0"/>
    </xf>
    <xf numFmtId="41" fontId="7" fillId="0" borderId="0" xfId="117" applyNumberFormat="1" applyFont="1" applyAlignment="1" applyProtection="1">
      <alignment horizontal="right"/>
      <protection locked="0"/>
    </xf>
    <xf numFmtId="10" fontId="7" fillId="0" borderId="0" xfId="0" applyNumberFormat="1" applyFont="1" applyBorder="1"/>
    <xf numFmtId="0" fontId="7" fillId="0" borderId="0" xfId="0" applyFont="1" applyFill="1" applyAlignment="1">
      <alignment horizontal="center"/>
    </xf>
    <xf numFmtId="41" fontId="7" fillId="0" borderId="0" xfId="0" applyNumberFormat="1" applyFont="1"/>
    <xf numFmtId="0" fontId="7" fillId="0" borderId="0" xfId="0" applyFont="1" applyFill="1" applyBorder="1" applyAlignment="1"/>
    <xf numFmtId="3" fontId="14" fillId="0" borderId="0" xfId="117" applyNumberFormat="1" applyFont="1" applyFill="1" applyBorder="1" applyAlignment="1" applyProtection="1">
      <protection locked="0"/>
    </xf>
    <xf numFmtId="41" fontId="7" fillId="0" borderId="11" xfId="117" applyNumberFormat="1" applyFont="1" applyFill="1" applyBorder="1" applyAlignment="1" applyProtection="1">
      <protection locked="0"/>
    </xf>
    <xf numFmtId="3" fontId="14" fillId="0" borderId="0" xfId="117" applyNumberFormat="1" applyFont="1" applyFill="1" applyBorder="1" applyAlignment="1" applyProtection="1">
      <alignment horizontal="center"/>
      <protection locked="0"/>
    </xf>
    <xf numFmtId="41" fontId="7" fillId="0" borderId="0" xfId="117" applyNumberFormat="1" applyFont="1" applyFill="1" applyBorder="1" applyAlignment="1" applyProtection="1">
      <protection locked="0"/>
    </xf>
    <xf numFmtId="41" fontId="14" fillId="0" borderId="0" xfId="117" applyNumberFormat="1" applyFont="1" applyFill="1" applyBorder="1" applyAlignment="1" applyProtection="1">
      <protection locked="0"/>
    </xf>
    <xf numFmtId="0" fontId="14" fillId="0" borderId="0" xfId="117" applyNumberFormat="1" applyFont="1" applyFill="1" applyBorder="1" applyAlignment="1" applyProtection="1">
      <protection locked="0"/>
    </xf>
    <xf numFmtId="0" fontId="6" fillId="0" borderId="0" xfId="0" applyFont="1" applyFill="1"/>
    <xf numFmtId="0" fontId="14" fillId="0" borderId="0" xfId="117" applyNumberFormat="1" applyFont="1" applyFill="1" applyBorder="1" applyProtection="1">
      <protection locked="0"/>
    </xf>
    <xf numFmtId="0" fontId="7" fillId="0" borderId="0" xfId="117" applyNumberFormat="1" applyFont="1" applyFill="1" applyBorder="1" applyAlignment="1" applyProtection="1">
      <protection locked="0"/>
    </xf>
    <xf numFmtId="3" fontId="7" fillId="0" borderId="0" xfId="117" applyNumberFormat="1" applyFont="1" applyFill="1" applyBorder="1" applyAlignment="1" applyProtection="1">
      <protection locked="0"/>
    </xf>
    <xf numFmtId="41" fontId="7" fillId="0" borderId="0" xfId="117" applyNumberFormat="1" applyFont="1" applyFill="1" applyBorder="1" applyAlignment="1" applyProtection="1">
      <alignment horizontal="center"/>
      <protection locked="0"/>
    </xf>
    <xf numFmtId="0" fontId="7" fillId="0" borderId="0" xfId="117" applyNumberFormat="1" applyFont="1" applyFill="1" applyBorder="1" applyProtection="1">
      <protection locked="0"/>
    </xf>
    <xf numFmtId="3" fontId="7" fillId="0" borderId="0" xfId="117" applyNumberFormat="1" applyFont="1" applyFill="1" applyBorder="1" applyAlignment="1" applyProtection="1">
      <alignment horizontal="center"/>
      <protection locked="0"/>
    </xf>
    <xf numFmtId="0" fontId="7" fillId="0" borderId="0" xfId="117" applyNumberFormat="1" applyFont="1" applyFill="1" applyBorder="1" applyAlignment="1" applyProtection="1">
      <alignment horizontal="center"/>
      <protection locked="0"/>
    </xf>
    <xf numFmtId="10" fontId="7" fillId="0" borderId="0" xfId="117" applyNumberFormat="1" applyFont="1" applyFill="1" applyBorder="1" applyAlignment="1" applyProtection="1">
      <protection locked="0"/>
    </xf>
    <xf numFmtId="167" fontId="7" fillId="0" borderId="0" xfId="117" applyNumberFormat="1" applyFont="1" applyFill="1" applyBorder="1" applyAlignment="1" applyProtection="1">
      <protection locked="0"/>
    </xf>
    <xf numFmtId="169" fontId="7" fillId="0" borderId="0" xfId="117" applyFont="1" applyFill="1" applyBorder="1" applyAlignment="1" applyProtection="1">
      <protection locked="0"/>
    </xf>
    <xf numFmtId="3" fontId="7" fillId="0" borderId="0" xfId="117" quotePrefix="1" applyNumberFormat="1" applyFont="1" applyFill="1" applyBorder="1" applyAlignment="1" applyProtection="1">
      <protection locked="0"/>
    </xf>
    <xf numFmtId="3" fontId="39" fillId="0" borderId="0" xfId="117" applyNumberFormat="1" applyFont="1" applyFill="1" applyBorder="1" applyAlignment="1" applyProtection="1">
      <alignment horizontal="right"/>
      <protection locked="0"/>
    </xf>
    <xf numFmtId="167" fontId="39" fillId="0" borderId="0" xfId="117" applyNumberFormat="1" applyFont="1" applyFill="1" applyBorder="1" applyAlignment="1" applyProtection="1">
      <protection locked="0"/>
    </xf>
    <xf numFmtId="3" fontId="39" fillId="0" borderId="0" xfId="117" quotePrefix="1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/>
    <xf numFmtId="170" fontId="7" fillId="0" borderId="0" xfId="59" applyNumberFormat="1" applyFont="1" applyFill="1" applyBorder="1"/>
    <xf numFmtId="41" fontId="48" fillId="0" borderId="0" xfId="117" applyNumberFormat="1" applyFont="1" applyFill="1" applyBorder="1" applyAlignment="1" applyProtection="1">
      <protection locked="0"/>
    </xf>
    <xf numFmtId="0" fontId="0" fillId="0" borderId="0" xfId="0" applyAlignment="1"/>
    <xf numFmtId="41" fontId="7" fillId="0" borderId="11" xfId="0" applyNumberFormat="1" applyFont="1" applyFill="1" applyBorder="1"/>
    <xf numFmtId="41" fontId="7" fillId="0" borderId="0" xfId="0" applyNumberFormat="1" applyFont="1" applyBorder="1"/>
    <xf numFmtId="41" fontId="48" fillId="0" borderId="0" xfId="0" applyNumberFormat="1" applyFont="1"/>
    <xf numFmtId="0" fontId="9" fillId="0" borderId="0" xfId="0" applyFont="1" applyFill="1" applyAlignment="1">
      <alignment horizontal="left"/>
    </xf>
    <xf numFmtId="0" fontId="0" fillId="0" borderId="0" xfId="0" applyFill="1" applyAlignment="1"/>
    <xf numFmtId="41" fontId="7" fillId="0" borderId="0" xfId="0" applyNumberFormat="1" applyFont="1" applyFill="1"/>
    <xf numFmtId="170" fontId="7" fillId="0" borderId="0" xfId="59" applyNumberFormat="1" applyFont="1" applyFill="1"/>
    <xf numFmtId="10" fontId="7" fillId="0" borderId="11" xfId="0" applyNumberFormat="1" applyFont="1" applyFill="1" applyBorder="1"/>
    <xf numFmtId="9" fontId="7" fillId="0" borderId="11" xfId="120" applyFont="1" applyFill="1" applyBorder="1"/>
    <xf numFmtId="170" fontId="7" fillId="0" borderId="11" xfId="59" applyNumberFormat="1" applyFont="1" applyFill="1" applyBorder="1" applyAlignment="1"/>
    <xf numFmtId="41" fontId="0" fillId="0" borderId="0" xfId="0" applyNumberFormat="1"/>
    <xf numFmtId="41" fontId="7" fillId="0" borderId="11" xfId="0" applyNumberFormat="1" applyFont="1" applyBorder="1"/>
    <xf numFmtId="10" fontId="7" fillId="0" borderId="0" xfId="0" applyNumberFormat="1" applyFont="1"/>
    <xf numFmtId="10" fontId="48" fillId="0" borderId="0" xfId="0" applyNumberFormat="1" applyFont="1"/>
    <xf numFmtId="0" fontId="7" fillId="0" borderId="0" xfId="0" applyFont="1" applyFill="1" applyBorder="1" applyAlignment="1">
      <alignment wrapText="1"/>
    </xf>
    <xf numFmtId="170" fontId="7" fillId="0" borderId="11" xfId="59" applyNumberFormat="1" applyFont="1" applyFill="1" applyBorder="1"/>
    <xf numFmtId="0" fontId="0" fillId="0" borderId="0" xfId="0" applyFill="1"/>
    <xf numFmtId="174" fontId="7" fillId="0" borderId="0" xfId="0" applyNumberFormat="1" applyFont="1"/>
    <xf numFmtId="43" fontId="7" fillId="0" borderId="0" xfId="59" applyFont="1"/>
    <xf numFmtId="43" fontId="7" fillId="0" borderId="0" xfId="59" applyNumberFormat="1" applyFont="1"/>
    <xf numFmtId="170" fontId="7" fillId="0" borderId="0" xfId="0" applyNumberFormat="1" applyFont="1"/>
    <xf numFmtId="0" fontId="50" fillId="0" borderId="0" xfId="0" applyFo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70" fontId="7" fillId="0" borderId="0" xfId="59" applyNumberFormat="1" applyFont="1" applyBorder="1"/>
    <xf numFmtId="0" fontId="39" fillId="0" borderId="0" xfId="0" applyFont="1" applyAlignment="1">
      <alignment horizontal="left"/>
    </xf>
    <xf numFmtId="0" fontId="51" fillId="27" borderId="0" xfId="59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59" applyNumberFormat="1" applyFont="1" applyBorder="1"/>
    <xf numFmtId="0" fontId="14" fillId="0" borderId="0" xfId="59" applyNumberFormat="1" applyFont="1" applyFill="1" applyAlignment="1">
      <alignment horizontal="left"/>
    </xf>
    <xf numFmtId="0" fontId="14" fillId="0" borderId="0" xfId="59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59" applyNumberFormat="1" applyFont="1" applyFill="1" applyBorder="1" applyAlignment="1">
      <alignment horizontal="left"/>
    </xf>
    <xf numFmtId="170" fontId="39" fillId="0" borderId="20" xfId="59" applyNumberFormat="1" applyFont="1" applyBorder="1"/>
    <xf numFmtId="0" fontId="39" fillId="0" borderId="0" xfId="0" applyFont="1" applyFill="1"/>
    <xf numFmtId="170" fontId="39" fillId="0" borderId="15" xfId="59" applyNumberFormat="1" applyFont="1" applyBorder="1"/>
    <xf numFmtId="170" fontId="7" fillId="0" borderId="6" xfId="59" applyNumberFormat="1" applyFont="1" applyBorder="1"/>
    <xf numFmtId="170" fontId="7" fillId="0" borderId="16" xfId="59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59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59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59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59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59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59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59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59" applyNumberFormat="1" applyBorder="1"/>
    <xf numFmtId="170" fontId="7" fillId="0" borderId="25" xfId="59" applyNumberFormat="1" applyFont="1" applyBorder="1"/>
    <xf numFmtId="170" fontId="7" fillId="0" borderId="25" xfId="0" applyNumberFormat="1" applyFont="1" applyFill="1" applyBorder="1"/>
    <xf numFmtId="170" fontId="7" fillId="0" borderId="25" xfId="59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59" applyNumberFormat="1" applyBorder="1"/>
    <xf numFmtId="170" fontId="7" fillId="0" borderId="26" xfId="59" applyNumberFormat="1" applyFont="1" applyFill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1" fontId="7" fillId="0" borderId="24" xfId="0" applyNumberFormat="1" applyFont="1" applyFill="1" applyBorder="1"/>
    <xf numFmtId="170" fontId="5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0" fillId="0" borderId="0" xfId="0" applyFont="1" applyFill="1"/>
    <xf numFmtId="0" fontId="7" fillId="0" borderId="0" xfId="59" applyNumberFormat="1" applyFont="1" applyFill="1" applyAlignment="1" applyProtection="1">
      <protection locked="0"/>
    </xf>
    <xf numFmtId="169" fontId="15" fillId="0" borderId="17" xfId="117" applyFont="1" applyBorder="1" applyAlignment="1" applyProtection="1">
      <protection locked="0"/>
    </xf>
    <xf numFmtId="169" fontId="7" fillId="0" borderId="18" xfId="117" applyFont="1" applyBorder="1" applyAlignment="1" applyProtection="1">
      <protection locked="0"/>
    </xf>
    <xf numFmtId="3" fontId="7" fillId="0" borderId="19" xfId="117" applyNumberFormat="1" applyFont="1" applyBorder="1" applyAlignment="1" applyProtection="1">
      <protection locked="0"/>
    </xf>
    <xf numFmtId="167" fontId="7" fillId="0" borderId="0" xfId="117" applyNumberFormat="1" applyFont="1" applyAlignment="1" applyProtection="1">
      <protection locked="0"/>
    </xf>
    <xf numFmtId="0" fontId="0" fillId="0" borderId="0" xfId="0" applyBorder="1" applyAlignment="1">
      <alignment horizontal="right"/>
    </xf>
    <xf numFmtId="171" fontId="0" fillId="0" borderId="0" xfId="0" applyNumberFormat="1" applyBorder="1"/>
    <xf numFmtId="171" fontId="0" fillId="0" borderId="14" xfId="0" applyNumberFormat="1" applyBorder="1"/>
    <xf numFmtId="171" fontId="0" fillId="0" borderId="6" xfId="0" applyNumberFormat="1" applyBorder="1"/>
    <xf numFmtId="167" fontId="48" fillId="0" borderId="0" xfId="117" applyNumberFormat="1" applyFont="1" applyAlignment="1" applyProtection="1">
      <protection locked="0"/>
    </xf>
    <xf numFmtId="170" fontId="0" fillId="0" borderId="0" xfId="0" applyNumberFormat="1" applyBorder="1"/>
    <xf numFmtId="170" fontId="0" fillId="0" borderId="19" xfId="0" applyNumberFormat="1" applyBorder="1"/>
    <xf numFmtId="173" fontId="7" fillId="0" borderId="0" xfId="117" applyNumberFormat="1" applyFont="1" applyAlignment="1" applyProtection="1">
      <protection locked="0"/>
    </xf>
    <xf numFmtId="165" fontId="7" fillId="0" borderId="15" xfId="117" applyNumberFormat="1" applyFont="1" applyBorder="1" applyAlignment="1" applyProtection="1">
      <alignment horizontal="center"/>
      <protection locked="0"/>
    </xf>
    <xf numFmtId="170" fontId="7" fillId="0" borderId="6" xfId="117" quotePrefix="1" applyNumberFormat="1" applyFont="1" applyBorder="1" applyAlignment="1" applyProtection="1">
      <alignment horizontal="center"/>
      <protection locked="0"/>
    </xf>
    <xf numFmtId="41" fontId="48" fillId="0" borderId="11" xfId="117" applyNumberFormat="1" applyFont="1" applyFill="1" applyBorder="1" applyAlignment="1" applyProtection="1">
      <protection locked="0"/>
    </xf>
    <xf numFmtId="9" fontId="7" fillId="0" borderId="0" xfId="120" applyFont="1" applyFill="1" applyBorder="1"/>
    <xf numFmtId="170" fontId="7" fillId="0" borderId="0" xfId="59" applyNumberFormat="1" applyFont="1" applyFill="1" applyBorder="1" applyAlignment="1"/>
    <xf numFmtId="41" fontId="56" fillId="0" borderId="0" xfId="0" applyNumberFormat="1" applyFont="1"/>
    <xf numFmtId="10" fontId="0" fillId="0" borderId="0" xfId="0" applyNumberFormat="1"/>
    <xf numFmtId="164" fontId="1" fillId="0" borderId="0" xfId="120" applyNumberFormat="1"/>
    <xf numFmtId="0" fontId="9" fillId="0" borderId="0" xfId="0" applyFont="1" applyFill="1"/>
    <xf numFmtId="170" fontId="39" fillId="0" borderId="0" xfId="59" applyNumberFormat="1" applyFont="1" applyBorder="1"/>
    <xf numFmtId="170" fontId="7" fillId="0" borderId="14" xfId="0" applyNumberFormat="1" applyFont="1" applyBorder="1"/>
    <xf numFmtId="170" fontId="39" fillId="0" borderId="11" xfId="59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59" applyNumberFormat="1" applyFont="1" applyFill="1" applyBorder="1" applyAlignment="1">
      <alignment horizontal="left"/>
    </xf>
    <xf numFmtId="170" fontId="39" fillId="0" borderId="16" xfId="59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59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5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28" borderId="6" xfId="117" applyNumberFormat="1" applyFont="1" applyFill="1" applyBorder="1" applyAlignment="1" applyProtection="1">
      <alignment horizontal="center"/>
      <protection locked="0"/>
    </xf>
    <xf numFmtId="0" fontId="7" fillId="28" borderId="0" xfId="117" applyNumberFormat="1" applyFont="1" applyFill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65" fillId="0" borderId="0" xfId="0" quotePrefix="1" applyFont="1" applyAlignment="1">
      <alignment horizontal="left"/>
    </xf>
    <xf numFmtId="0" fontId="0" fillId="0" borderId="27" xfId="0" applyBorder="1"/>
    <xf numFmtId="0" fontId="66" fillId="0" borderId="0" xfId="0" quotePrefix="1" applyFont="1" applyAlignment="1">
      <alignment horizontal="left"/>
    </xf>
    <xf numFmtId="0" fontId="64" fillId="0" borderId="0" xfId="0" quotePrefix="1" applyFont="1" applyAlignment="1">
      <alignment horizontal="left"/>
    </xf>
    <xf numFmtId="170" fontId="54" fillId="0" borderId="24" xfId="0" applyNumberFormat="1" applyFont="1" applyBorder="1"/>
    <xf numFmtId="170" fontId="54" fillId="0" borderId="25" xfId="0" applyNumberFormat="1" applyFont="1" applyBorder="1"/>
    <xf numFmtId="171" fontId="54" fillId="0" borderId="26" xfId="0" applyNumberFormat="1" applyFont="1" applyBorder="1"/>
    <xf numFmtId="0" fontId="39" fillId="0" borderId="0" xfId="0" quotePrefix="1" applyFont="1" applyAlignment="1">
      <alignment horizontal="left"/>
    </xf>
    <xf numFmtId="0" fontId="7" fillId="28" borderId="0" xfId="59" applyNumberFormat="1" applyFont="1" applyFill="1" applyAlignment="1" applyProtection="1">
      <protection locked="0"/>
    </xf>
    <xf numFmtId="171" fontId="54" fillId="0" borderId="25" xfId="0" applyNumberFormat="1" applyFont="1" applyBorder="1"/>
    <xf numFmtId="0" fontId="0" fillId="0" borderId="19" xfId="0" applyBorder="1"/>
    <xf numFmtId="0" fontId="54" fillId="0" borderId="14" xfId="0" applyFont="1" applyBorder="1"/>
    <xf numFmtId="0" fontId="54" fillId="0" borderId="16" xfId="0" applyFont="1" applyBorder="1"/>
    <xf numFmtId="0" fontId="46" fillId="0" borderId="0" xfId="0" applyFont="1" applyAlignment="1">
      <alignment horizontal="center"/>
    </xf>
    <xf numFmtId="0" fontId="0" fillId="0" borderId="23" xfId="0" applyBorder="1" applyAlignment="1"/>
    <xf numFmtId="0" fontId="68" fillId="0" borderId="0" xfId="0" quotePrefix="1" applyFont="1" applyAlignment="1">
      <alignment horizontal="left"/>
    </xf>
    <xf numFmtId="0" fontId="68" fillId="0" borderId="0" xfId="0" applyFont="1"/>
    <xf numFmtId="0" fontId="69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117" applyFont="1" applyBorder="1" applyAlignment="1" applyProtection="1">
      <alignment horizontal="center"/>
      <protection locked="0"/>
    </xf>
    <xf numFmtId="169" fontId="7" fillId="0" borderId="29" xfId="117" quotePrefix="1" applyFont="1" applyBorder="1" applyAlignment="1" applyProtection="1">
      <alignment horizontal="center"/>
      <protection locked="0"/>
    </xf>
    <xf numFmtId="3" fontId="7" fillId="0" borderId="30" xfId="117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59" quotePrefix="1" applyNumberFormat="1" applyFont="1" applyBorder="1" applyAlignment="1">
      <alignment horizontal="right"/>
    </xf>
    <xf numFmtId="0" fontId="57" fillId="0" borderId="31" xfId="59" applyNumberFormat="1" applyFont="1" applyFill="1" applyBorder="1" applyAlignment="1">
      <alignment horizontal="left"/>
    </xf>
    <xf numFmtId="170" fontId="7" fillId="0" borderId="32" xfId="59" quotePrefix="1" applyNumberFormat="1" applyFont="1" applyBorder="1" applyAlignment="1">
      <alignment horizontal="right"/>
    </xf>
    <xf numFmtId="170" fontId="55" fillId="0" borderId="26" xfId="59" applyNumberFormat="1" applyFont="1" applyBorder="1"/>
    <xf numFmtId="0" fontId="7" fillId="0" borderId="15" xfId="0" quotePrefix="1" applyFont="1" applyBorder="1" applyAlignment="1">
      <alignment horizontal="right"/>
    </xf>
    <xf numFmtId="0" fontId="52" fillId="0" borderId="0" xfId="0" applyFont="1" applyFill="1" applyAlignment="1">
      <alignment horizontal="left"/>
    </xf>
    <xf numFmtId="0" fontId="39" fillId="0" borderId="13" xfId="0" applyFont="1" applyFill="1" applyBorder="1" applyAlignment="1">
      <alignment horizontal="center"/>
    </xf>
    <xf numFmtId="171" fontId="7" fillId="0" borderId="25" xfId="0" applyNumberFormat="1" applyFont="1" applyFill="1" applyBorder="1"/>
    <xf numFmtId="3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69" fontId="14" fillId="0" borderId="0" xfId="117" applyFont="1" applyFill="1" applyAlignment="1"/>
    <xf numFmtId="49" fontId="71" fillId="0" borderId="0" xfId="117" applyNumberFormat="1" applyFont="1" applyFill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70" fontId="1" fillId="0" borderId="11" xfId="59" applyNumberFormat="1" applyBorder="1"/>
    <xf numFmtId="43" fontId="1" fillId="0" borderId="0" xfId="59"/>
    <xf numFmtId="0" fontId="65" fillId="0" borderId="0" xfId="0" quotePrefix="1" applyFont="1" applyFill="1" applyBorder="1" applyAlignment="1">
      <alignment horizontal="center" wrapText="1"/>
    </xf>
    <xf numFmtId="0" fontId="65" fillId="0" borderId="0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centerContinuous"/>
    </xf>
    <xf numFmtId="0" fontId="72" fillId="0" borderId="0" xfId="0" applyFont="1" applyFill="1"/>
    <xf numFmtId="0" fontId="65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170" fontId="64" fillId="27" borderId="0" xfId="59" applyNumberFormat="1" applyFont="1" applyFill="1" applyAlignment="1">
      <alignment vertical="center"/>
    </xf>
    <xf numFmtId="170" fontId="1" fillId="0" borderId="0" xfId="59" applyNumberFormat="1" applyAlignment="1">
      <alignment vertical="center"/>
    </xf>
    <xf numFmtId="170" fontId="39" fillId="0" borderId="0" xfId="59" applyNumberFormat="1" applyFont="1" applyAlignment="1">
      <alignment horizontal="center" vertical="center"/>
    </xf>
    <xf numFmtId="170" fontId="39" fillId="0" borderId="0" xfId="59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1" fillId="0" borderId="0" xfId="59" applyAlignment="1">
      <alignment vertical="center"/>
    </xf>
    <xf numFmtId="0" fontId="0" fillId="0" borderId="0" xfId="0" quotePrefix="1" applyAlignment="1">
      <alignment horizontal="left" vertical="center"/>
    </xf>
    <xf numFmtId="170" fontId="64" fillId="27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0" fontId="73" fillId="0" borderId="0" xfId="59" applyNumberFormat="1" applyFont="1" applyAlignment="1">
      <alignment horizontal="center" vertical="center"/>
    </xf>
    <xf numFmtId="3" fontId="14" fillId="0" borderId="0" xfId="0" quotePrefix="1" applyNumberFormat="1" applyFont="1" applyFill="1" applyAlignment="1">
      <alignment horizontal="center"/>
    </xf>
    <xf numFmtId="0" fontId="0" fillId="0" borderId="33" xfId="0" applyBorder="1"/>
    <xf numFmtId="0" fontId="0" fillId="0" borderId="2" xfId="0" applyBorder="1"/>
    <xf numFmtId="170" fontId="1" fillId="0" borderId="2" xfId="59" applyNumberFormat="1" applyBorder="1"/>
    <xf numFmtId="0" fontId="0" fillId="0" borderId="34" xfId="0" applyBorder="1"/>
    <xf numFmtId="0" fontId="0" fillId="0" borderId="0" xfId="0" applyBorder="1" applyAlignment="1">
      <alignment horizontal="center"/>
    </xf>
    <xf numFmtId="49" fontId="71" fillId="0" borderId="0" xfId="117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11" xfId="0" applyBorder="1"/>
    <xf numFmtId="0" fontId="0" fillId="0" borderId="37" xfId="0" applyBorder="1"/>
    <xf numFmtId="168" fontId="7" fillId="0" borderId="14" xfId="59" applyNumberFormat="1" applyFont="1" applyFill="1" applyBorder="1"/>
    <xf numFmtId="170" fontId="7" fillId="0" borderId="14" xfId="59" applyNumberFormat="1" applyFont="1" applyFill="1" applyBorder="1"/>
    <xf numFmtId="170" fontId="7" fillId="0" borderId="16" xfId="59" applyNumberFormat="1" applyFont="1" applyFill="1" applyBorder="1"/>
    <xf numFmtId="170" fontId="39" fillId="27" borderId="26" xfId="59" applyNumberFormat="1" applyFont="1" applyFill="1" applyBorder="1" applyAlignment="1">
      <alignment horizontal="center"/>
    </xf>
    <xf numFmtId="170" fontId="39" fillId="27" borderId="16" xfId="59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43" fontId="53" fillId="0" borderId="0" xfId="59" applyFont="1" applyAlignment="1">
      <alignment horizontal="center" vertical="center"/>
    </xf>
    <xf numFmtId="0" fontId="65" fillId="0" borderId="0" xfId="0" quotePrefix="1" applyFont="1" applyBorder="1" applyAlignment="1">
      <alignment horizontal="center" wrapText="1"/>
    </xf>
    <xf numFmtId="170" fontId="1" fillId="0" borderId="0" xfId="59" applyNumberFormat="1" applyFont="1" applyFill="1" applyAlignment="1">
      <alignment vertical="center"/>
    </xf>
    <xf numFmtId="170" fontId="1" fillId="0" borderId="0" xfId="59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Continuous"/>
    </xf>
    <xf numFmtId="0" fontId="65" fillId="0" borderId="11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left"/>
    </xf>
    <xf numFmtId="0" fontId="0" fillId="0" borderId="25" xfId="0" applyBorder="1"/>
    <xf numFmtId="0" fontId="0" fillId="0" borderId="38" xfId="0" applyBorder="1" applyAlignment="1">
      <alignment wrapText="1"/>
    </xf>
    <xf numFmtId="170" fontId="54" fillId="0" borderId="25" xfId="59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1" fontId="54" fillId="0" borderId="25" xfId="0" applyNumberFormat="1" applyFont="1" applyFill="1" applyBorder="1"/>
    <xf numFmtId="170" fontId="39" fillId="0" borderId="24" xfId="59" quotePrefix="1" applyNumberFormat="1" applyFont="1" applyBorder="1" applyAlignment="1">
      <alignment horizontal="center" wrapText="1"/>
    </xf>
    <xf numFmtId="170" fontId="39" fillId="0" borderId="24" xfId="59" applyNumberFormat="1" applyFont="1" applyFill="1" applyBorder="1" applyAlignment="1">
      <alignment horizontal="center" wrapText="1"/>
    </xf>
    <xf numFmtId="170" fontId="39" fillId="0" borderId="26" xfId="59" applyNumberFormat="1" applyFont="1" applyFill="1" applyBorder="1" applyAlignment="1">
      <alignment horizontal="center"/>
    </xf>
    <xf numFmtId="170" fontId="39" fillId="0" borderId="15" xfId="59" applyNumberFormat="1" applyFont="1" applyFill="1" applyBorder="1" applyAlignment="1">
      <alignment horizontal="center"/>
    </xf>
    <xf numFmtId="0" fontId="52" fillId="0" borderId="0" xfId="0" quotePrefix="1" applyFont="1" applyFill="1" applyAlignment="1">
      <alignment horizontal="left"/>
    </xf>
    <xf numFmtId="170" fontId="54" fillId="0" borderId="14" xfId="59" applyNumberFormat="1" applyFont="1" applyFill="1" applyBorder="1"/>
    <xf numFmtId="170" fontId="54" fillId="0" borderId="26" xfId="59" applyNumberFormat="1" applyFont="1" applyFill="1" applyBorder="1"/>
    <xf numFmtId="170" fontId="54" fillId="0" borderId="16" xfId="59" applyNumberFormat="1" applyFont="1" applyFill="1" applyBorder="1"/>
    <xf numFmtId="164" fontId="1" fillId="0" borderId="0" xfId="0" applyNumberFormat="1" applyFont="1" applyFill="1"/>
    <xf numFmtId="171" fontId="0" fillId="0" borderId="0" xfId="76" applyNumberFormat="1" applyFont="1"/>
    <xf numFmtId="170" fontId="0" fillId="0" borderId="26" xfId="0" applyNumberFormat="1" applyBorder="1"/>
    <xf numFmtId="0" fontId="0" fillId="0" borderId="0" xfId="0" quotePrefix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53" fillId="0" borderId="0" xfId="0" quotePrefix="1" applyFont="1" applyAlignment="1">
      <alignment horizontal="left"/>
    </xf>
    <xf numFmtId="43" fontId="75" fillId="0" borderId="0" xfId="59" applyFont="1" applyAlignment="1">
      <alignment horizontal="left" vertical="center"/>
    </xf>
    <xf numFmtId="170" fontId="75" fillId="0" borderId="0" xfId="59" applyNumberFormat="1" applyFont="1" applyAlignment="1">
      <alignment horizontal="center" vertical="center"/>
    </xf>
    <xf numFmtId="1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71" fontId="7" fillId="0" borderId="19" xfId="0" applyNumberFormat="1" applyFont="1" applyBorder="1"/>
    <xf numFmtId="170" fontId="39" fillId="0" borderId="25" xfId="59" applyNumberFormat="1" applyFont="1" applyBorder="1" applyAlignment="1">
      <alignment horizontal="center"/>
    </xf>
    <xf numFmtId="170" fontId="0" fillId="0" borderId="25" xfId="0" applyNumberFormat="1" applyBorder="1" applyAlignment="1">
      <alignment vertical="center"/>
    </xf>
    <xf numFmtId="170" fontId="39" fillId="27" borderId="19" xfId="59" quotePrefix="1" applyNumberFormat="1" applyFont="1" applyFill="1" applyBorder="1" applyAlignment="1">
      <alignment horizontal="center" wrapText="1"/>
    </xf>
    <xf numFmtId="170" fontId="39" fillId="0" borderId="19" xfId="59" quotePrefix="1" applyNumberFormat="1" applyFont="1" applyBorder="1" applyAlignment="1">
      <alignment horizontal="center" wrapText="1"/>
    </xf>
    <xf numFmtId="170" fontId="39" fillId="27" borderId="24" xfId="59" quotePrefix="1" applyNumberFormat="1" applyFont="1" applyFill="1" applyBorder="1" applyAlignment="1">
      <alignment horizontal="center" wrapText="1"/>
    </xf>
    <xf numFmtId="170" fontId="1" fillId="0" borderId="0" xfId="59" applyNumberFormat="1" applyFont="1" applyAlignment="1">
      <alignment horizontal="center" vertical="center"/>
    </xf>
    <xf numFmtId="170" fontId="0" fillId="0" borderId="0" xfId="59" applyNumberFormat="1" applyFont="1"/>
    <xf numFmtId="170" fontId="54" fillId="27" borderId="0" xfId="0" applyNumberFormat="1" applyFont="1" applyFill="1" applyBorder="1"/>
    <xf numFmtId="170" fontId="54" fillId="27" borderId="24" xfId="59" applyNumberFormat="1" applyFont="1" applyFill="1" applyBorder="1"/>
    <xf numFmtId="170" fontId="54" fillId="27" borderId="25" xfId="59" applyNumberFormat="1" applyFont="1" applyFill="1" applyBorder="1"/>
    <xf numFmtId="170" fontId="54" fillId="27" borderId="0" xfId="0" quotePrefix="1" applyNumberFormat="1" applyFont="1" applyFill="1" applyBorder="1" applyAlignment="1">
      <alignment horizontal="left"/>
    </xf>
    <xf numFmtId="170" fontId="54" fillId="27" borderId="14" xfId="59" applyNumberFormat="1" applyFont="1" applyFill="1" applyBorder="1"/>
    <xf numFmtId="170" fontId="54" fillId="27" borderId="25" xfId="0" applyNumberFormat="1" applyFont="1" applyFill="1" applyBorder="1"/>
    <xf numFmtId="170" fontId="64" fillId="27" borderId="25" xfId="59" applyNumberFormat="1" applyFont="1" applyFill="1" applyBorder="1"/>
    <xf numFmtId="170" fontId="54" fillId="27" borderId="24" xfId="0" applyNumberFormat="1" applyFont="1" applyFill="1" applyBorder="1"/>
    <xf numFmtId="168" fontId="54" fillId="27" borderId="25" xfId="59" applyNumberFormat="1" applyFont="1" applyFill="1" applyBorder="1"/>
    <xf numFmtId="168" fontId="54" fillId="27" borderId="14" xfId="59" applyNumberFormat="1" applyFont="1" applyFill="1" applyBorder="1"/>
    <xf numFmtId="0" fontId="7" fillId="0" borderId="13" xfId="0" quotePrefix="1" applyFont="1" applyFill="1" applyBorder="1" applyAlignment="1">
      <alignment horizontal="left"/>
    </xf>
    <xf numFmtId="170" fontId="7" fillId="0" borderId="26" xfId="59" applyNumberFormat="1" applyFont="1" applyBorder="1"/>
    <xf numFmtId="175" fontId="5" fillId="0" borderId="14" xfId="0" applyNumberFormat="1" applyFont="1" applyBorder="1"/>
    <xf numFmtId="176" fontId="7" fillId="0" borderId="14" xfId="59" applyNumberFormat="1" applyFont="1" applyBorder="1"/>
    <xf numFmtId="171" fontId="54" fillId="29" borderId="25" xfId="0" applyNumberFormat="1" applyFont="1" applyFill="1" applyBorder="1"/>
    <xf numFmtId="171" fontId="7" fillId="29" borderId="25" xfId="0" applyNumberFormat="1" applyFont="1" applyFill="1" applyBorder="1"/>
    <xf numFmtId="0" fontId="61" fillId="28" borderId="22" xfId="0" quotePrefix="1" applyFont="1" applyFill="1" applyBorder="1" applyAlignment="1">
      <alignment horizontal="center"/>
    </xf>
    <xf numFmtId="43" fontId="76" fillId="0" borderId="0" xfId="59" applyFont="1" applyAlignment="1">
      <alignment vertical="center"/>
    </xf>
    <xf numFmtId="171" fontId="54" fillId="29" borderId="24" xfId="0" applyNumberFormat="1" applyFont="1" applyFill="1" applyBorder="1"/>
    <xf numFmtId="171" fontId="7" fillId="29" borderId="24" xfId="0" applyNumberFormat="1" applyFont="1" applyFill="1" applyBorder="1"/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70" fontId="7" fillId="0" borderId="15" xfId="0" applyNumberFormat="1" applyFont="1" applyBorder="1"/>
    <xf numFmtId="0" fontId="1" fillId="0" borderId="14" xfId="0" applyFont="1" applyBorder="1"/>
    <xf numFmtId="10" fontId="54" fillId="0" borderId="39" xfId="0" applyNumberFormat="1" applyFont="1" applyBorder="1"/>
    <xf numFmtId="0" fontId="1" fillId="0" borderId="40" xfId="0" applyFont="1" applyBorder="1"/>
    <xf numFmtId="166" fontId="54" fillId="0" borderId="39" xfId="0" applyNumberFormat="1" applyFont="1" applyBorder="1"/>
    <xf numFmtId="0" fontId="1" fillId="0" borderId="41" xfId="0" applyFont="1" applyBorder="1"/>
    <xf numFmtId="41" fontId="54" fillId="0" borderId="13" xfId="0" applyNumberFormat="1" applyFont="1" applyBorder="1"/>
    <xf numFmtId="3" fontId="54" fillId="0" borderId="42" xfId="0" applyNumberFormat="1" applyFont="1" applyBorder="1"/>
    <xf numFmtId="10" fontId="54" fillId="0" borderId="13" xfId="0" applyNumberFormat="1" applyFont="1" applyBorder="1"/>
    <xf numFmtId="0" fontId="54" fillId="0" borderId="20" xfId="0" applyFont="1" applyBorder="1"/>
    <xf numFmtId="170" fontId="54" fillId="0" borderId="39" xfId="0" applyNumberFormat="1" applyFont="1" applyBorder="1"/>
    <xf numFmtId="170" fontId="54" fillId="0" borderId="43" xfId="0" applyNumberFormat="1" applyFont="1" applyBorder="1"/>
    <xf numFmtId="0" fontId="1" fillId="0" borderId="44" xfId="0" applyFont="1" applyBorder="1"/>
    <xf numFmtId="0" fontId="54" fillId="0" borderId="45" xfId="0" applyFont="1" applyBorder="1"/>
    <xf numFmtId="170" fontId="54" fillId="0" borderId="46" xfId="0" applyNumberFormat="1" applyFont="1" applyBorder="1"/>
    <xf numFmtId="0" fontId="7" fillId="0" borderId="47" xfId="0" quotePrefix="1" applyFont="1" applyFill="1" applyBorder="1" applyAlignment="1">
      <alignment horizontal="left"/>
    </xf>
    <xf numFmtId="0" fontId="54" fillId="0" borderId="39" xfId="0" quotePrefix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center"/>
    </xf>
    <xf numFmtId="0" fontId="7" fillId="30" borderId="0" xfId="0" applyFont="1" applyFill="1"/>
    <xf numFmtId="0" fontId="7" fillId="0" borderId="0" xfId="0" quotePrefix="1" applyFont="1" applyAlignment="1">
      <alignment horizontal="center" vertical="center"/>
    </xf>
    <xf numFmtId="171" fontId="7" fillId="0" borderId="18" xfId="0" applyNumberFormat="1" applyFont="1" applyFill="1" applyBorder="1"/>
    <xf numFmtId="170" fontId="54" fillId="27" borderId="14" xfId="0" applyNumberFormat="1" applyFont="1" applyFill="1" applyBorder="1"/>
    <xf numFmtId="0" fontId="0" fillId="0" borderId="24" xfId="0" applyBorder="1" applyAlignment="1">
      <alignment horizontal="center"/>
    </xf>
    <xf numFmtId="43" fontId="77" fillId="30" borderId="24" xfId="59" applyFont="1" applyFill="1" applyBorder="1" applyAlignment="1">
      <alignment horizontal="right"/>
    </xf>
    <xf numFmtId="43" fontId="77" fillId="30" borderId="25" xfId="59" applyFont="1" applyFill="1" applyBorder="1" applyAlignment="1">
      <alignment horizontal="center"/>
    </xf>
    <xf numFmtId="43" fontId="77" fillId="30" borderId="24" xfId="59" applyFont="1" applyFill="1" applyBorder="1"/>
    <xf numFmtId="43" fontId="1" fillId="30" borderId="24" xfId="59" applyFill="1" applyBorder="1"/>
    <xf numFmtId="43" fontId="0" fillId="0" borderId="24" xfId="59" applyFont="1" applyBorder="1"/>
    <xf numFmtId="43" fontId="77" fillId="30" borderId="25" xfId="59" applyFont="1" applyFill="1" applyBorder="1"/>
    <xf numFmtId="43" fontId="1" fillId="30" borderId="25" xfId="59" applyFill="1" applyBorder="1"/>
    <xf numFmtId="43" fontId="0" fillId="0" borderId="25" xfId="59" applyFont="1" applyBorder="1"/>
    <xf numFmtId="43" fontId="0" fillId="0" borderId="0" xfId="59" applyFont="1"/>
    <xf numFmtId="170" fontId="82" fillId="30" borderId="0" xfId="0" applyNumberFormat="1" applyFont="1" applyFill="1" applyBorder="1"/>
    <xf numFmtId="170" fontId="82" fillId="30" borderId="25" xfId="59" applyNumberFormat="1" applyFont="1" applyFill="1" applyBorder="1"/>
    <xf numFmtId="170" fontId="82" fillId="30" borderId="25" xfId="0" applyNumberFormat="1" applyFont="1" applyFill="1" applyBorder="1"/>
    <xf numFmtId="168" fontId="82" fillId="30" borderId="25" xfId="59" applyNumberFormat="1" applyFont="1" applyFill="1" applyBorder="1"/>
    <xf numFmtId="168" fontId="82" fillId="30" borderId="14" xfId="59" applyNumberFormat="1" applyFont="1" applyFill="1" applyBorder="1"/>
    <xf numFmtId="170" fontId="82" fillId="30" borderId="14" xfId="59" applyNumberFormat="1" applyFont="1" applyFill="1" applyBorder="1"/>
    <xf numFmtId="0" fontId="52" fillId="30" borderId="0" xfId="0" applyFont="1" applyFill="1" applyAlignment="1">
      <alignment horizontal="left"/>
    </xf>
    <xf numFmtId="170" fontId="82" fillId="30" borderId="24" xfId="0" applyNumberFormat="1" applyFont="1" applyFill="1" applyBorder="1"/>
    <xf numFmtId="0" fontId="7" fillId="0" borderId="22" xfId="0" applyFont="1" applyFill="1" applyBorder="1" applyAlignment="1">
      <alignment horizontal="left"/>
    </xf>
    <xf numFmtId="0" fontId="83" fillId="0" borderId="0" xfId="117" applyNumberFormat="1" applyFont="1" applyFill="1" applyBorder="1" applyAlignment="1" applyProtection="1">
      <protection locked="0"/>
    </xf>
    <xf numFmtId="0" fontId="83" fillId="0" borderId="0" xfId="0" applyFont="1" applyAlignment="1">
      <alignment horizontal="left"/>
    </xf>
    <xf numFmtId="0" fontId="84" fillId="0" borderId="0" xfId="117" applyNumberFormat="1" applyFont="1" applyFill="1" applyBorder="1" applyAlignment="1" applyProtection="1">
      <protection locked="0"/>
    </xf>
    <xf numFmtId="170" fontId="54" fillId="27" borderId="13" xfId="0" applyNumberFormat="1" applyFont="1" applyFill="1" applyBorder="1"/>
    <xf numFmtId="170" fontId="7" fillId="0" borderId="13" xfId="0" applyNumberFormat="1" applyFont="1" applyBorder="1"/>
    <xf numFmtId="171" fontId="7" fillId="0" borderId="13" xfId="0" applyNumberFormat="1" applyFont="1" applyBorder="1"/>
    <xf numFmtId="171" fontId="7" fillId="29" borderId="0" xfId="0" applyNumberFormat="1" applyFont="1" applyFill="1" applyBorder="1"/>
    <xf numFmtId="170" fontId="85" fillId="30" borderId="0" xfId="0" applyNumberFormat="1" applyFont="1" applyFill="1" applyBorder="1"/>
    <xf numFmtId="170" fontId="85" fillId="30" borderId="25" xfId="59" applyNumberFormat="1" applyFont="1" applyFill="1" applyBorder="1"/>
    <xf numFmtId="170" fontId="85" fillId="30" borderId="25" xfId="0" applyNumberFormat="1" applyFont="1" applyFill="1" applyBorder="1"/>
    <xf numFmtId="170" fontId="85" fillId="30" borderId="14" xfId="59" applyNumberFormat="1" applyFont="1" applyFill="1" applyBorder="1"/>
    <xf numFmtId="171" fontId="7" fillId="0" borderId="0" xfId="0" applyNumberFormat="1" applyFont="1" applyFill="1" applyBorder="1"/>
    <xf numFmtId="170" fontId="85" fillId="30" borderId="24" xfId="59" applyNumberFormat="1" applyFont="1" applyFill="1" applyBorder="1"/>
    <xf numFmtId="170" fontId="1" fillId="0" borderId="0" xfId="59" applyNumberFormat="1" applyBorder="1" applyAlignment="1">
      <alignment vertical="center"/>
    </xf>
    <xf numFmtId="170" fontId="1" fillId="0" borderId="0" xfId="59" applyNumberFormat="1" applyFont="1" applyBorder="1" applyAlignment="1">
      <alignment vertical="center"/>
    </xf>
    <xf numFmtId="170" fontId="39" fillId="0" borderId="0" xfId="59" applyNumberFormat="1" applyFont="1" applyBorder="1" applyAlignment="1">
      <alignment vertical="center"/>
    </xf>
    <xf numFmtId="0" fontId="7" fillId="0" borderId="0" xfId="0" applyFont="1" applyFill="1" applyAlignment="1"/>
    <xf numFmtId="170" fontId="82" fillId="30" borderId="24" xfId="59" applyNumberFormat="1" applyFont="1" applyFill="1" applyBorder="1"/>
    <xf numFmtId="170" fontId="7" fillId="0" borderId="0" xfId="0" applyNumberFormat="1" applyFont="1" applyAlignment="1">
      <alignment horizontal="left"/>
    </xf>
    <xf numFmtId="170" fontId="85" fillId="30" borderId="24" xfId="0" applyNumberFormat="1" applyFont="1" applyFill="1" applyBorder="1"/>
    <xf numFmtId="168" fontId="85" fillId="30" borderId="25" xfId="59" applyNumberFormat="1" applyFont="1" applyFill="1" applyBorder="1"/>
    <xf numFmtId="168" fontId="85" fillId="30" borderId="14" xfId="59" applyNumberFormat="1" applyFont="1" applyFill="1" applyBorder="1"/>
    <xf numFmtId="170" fontId="85" fillId="30" borderId="14" xfId="59" applyNumberFormat="1" applyFont="1" applyFill="1" applyBorder="1" applyAlignment="1">
      <alignment horizontal="right"/>
    </xf>
    <xf numFmtId="170" fontId="1" fillId="0" borderId="0" xfId="59" applyNumberFormat="1" applyFont="1" applyFill="1" applyBorder="1" applyAlignment="1">
      <alignment vertical="center"/>
    </xf>
    <xf numFmtId="170" fontId="1" fillId="0" borderId="0" xfId="59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64" fillId="27" borderId="0" xfId="59" applyNumberFormat="1" applyFon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7" fontId="1" fillId="0" borderId="0" xfId="59" applyNumberFormat="1"/>
    <xf numFmtId="170" fontId="64" fillId="30" borderId="0" xfId="59" applyNumberFormat="1" applyFont="1" applyFill="1" applyAlignment="1">
      <alignment vertical="center"/>
    </xf>
    <xf numFmtId="170" fontId="82" fillId="30" borderId="0" xfId="59" applyNumberFormat="1" applyFont="1" applyFill="1" applyBorder="1" applyAlignment="1">
      <alignment vertical="center"/>
    </xf>
    <xf numFmtId="170" fontId="7" fillId="0" borderId="14" xfId="59" quotePrefix="1" applyNumberFormat="1" applyFont="1" applyFill="1" applyBorder="1" applyAlignment="1">
      <alignment horizontal="right"/>
    </xf>
    <xf numFmtId="0" fontId="7" fillId="0" borderId="47" xfId="104" quotePrefix="1" applyFont="1" applyFill="1" applyBorder="1" applyAlignment="1">
      <alignment horizontal="left"/>
    </xf>
    <xf numFmtId="0" fontId="7" fillId="0" borderId="19" xfId="104" applyFont="1" applyFill="1" applyBorder="1"/>
    <xf numFmtId="0" fontId="47" fillId="0" borderId="0" xfId="0" applyFont="1" applyFill="1" applyAlignment="1">
      <alignment vertical="top"/>
    </xf>
    <xf numFmtId="170" fontId="7" fillId="0" borderId="26" xfId="0" applyNumberFormat="1" applyFont="1" applyFill="1" applyBorder="1"/>
    <xf numFmtId="10" fontId="7" fillId="0" borderId="0" xfId="0" applyNumberFormat="1" applyFont="1" applyFill="1"/>
    <xf numFmtId="170" fontId="7" fillId="30" borderId="0" xfId="0" applyNumberFormat="1" applyFont="1" applyFill="1" applyBorder="1"/>
    <xf numFmtId="170" fontId="7" fillId="30" borderId="25" xfId="0" applyNumberFormat="1" applyFont="1" applyFill="1" applyBorder="1"/>
    <xf numFmtId="170" fontId="7" fillId="30" borderId="14" xfId="59" applyNumberFormat="1" applyFont="1" applyFill="1" applyBorder="1"/>
    <xf numFmtId="170" fontId="7" fillId="30" borderId="24" xfId="59" applyNumberFormat="1" applyFont="1" applyFill="1" applyBorder="1"/>
    <xf numFmtId="0" fontId="7" fillId="0" borderId="14" xfId="0" applyFont="1" applyFill="1" applyBorder="1"/>
    <xf numFmtId="0" fontId="7" fillId="0" borderId="40" xfId="0" applyFont="1" applyFill="1" applyBorder="1"/>
    <xf numFmtId="0" fontId="7" fillId="0" borderId="41" xfId="0" applyFont="1" applyFill="1" applyBorder="1"/>
    <xf numFmtId="41" fontId="54" fillId="0" borderId="39" xfId="0" applyNumberFormat="1" applyFont="1" applyFill="1" applyBorder="1"/>
    <xf numFmtId="3" fontId="7" fillId="0" borderId="42" xfId="0" applyNumberFormat="1" applyFont="1" applyFill="1" applyBorder="1"/>
    <xf numFmtId="10" fontId="54" fillId="0" borderId="13" xfId="0" applyNumberFormat="1" applyFont="1" applyFill="1" applyBorder="1"/>
    <xf numFmtId="41" fontId="54" fillId="0" borderId="13" xfId="0" applyNumberFormat="1" applyFont="1" applyFill="1" applyBorder="1"/>
    <xf numFmtId="170" fontId="54" fillId="0" borderId="39" xfId="0" applyNumberFormat="1" applyFont="1" applyFill="1" applyBorder="1"/>
    <xf numFmtId="0" fontId="7" fillId="0" borderId="20" xfId="0" applyFont="1" applyFill="1" applyBorder="1"/>
    <xf numFmtId="170" fontId="54" fillId="0" borderId="43" xfId="0" applyNumberFormat="1" applyFont="1" applyFill="1" applyBorder="1"/>
    <xf numFmtId="0" fontId="7" fillId="0" borderId="45" xfId="0" applyFont="1" applyFill="1" applyBorder="1"/>
    <xf numFmtId="0" fontId="7" fillId="0" borderId="16" xfId="0" applyFont="1" applyFill="1" applyBorder="1"/>
    <xf numFmtId="43" fontId="7" fillId="0" borderId="24" xfId="0" applyNumberFormat="1" applyFont="1" applyBorder="1"/>
    <xf numFmtId="170" fontId="7" fillId="0" borderId="16" xfId="0" applyNumberFormat="1" applyFont="1" applyBorder="1"/>
    <xf numFmtId="170" fontId="7" fillId="0" borderId="0" xfId="0" applyNumberFormat="1" applyFont="1" applyFill="1" applyBorder="1"/>
    <xf numFmtId="170" fontId="7" fillId="0" borderId="24" xfId="59" applyNumberFormat="1" applyFont="1" applyFill="1" applyBorder="1"/>
    <xf numFmtId="0" fontId="54" fillId="27" borderId="0" xfId="0" applyFont="1" applyFill="1" applyAlignment="1">
      <alignment horizontal="left"/>
    </xf>
    <xf numFmtId="170" fontId="54" fillId="0" borderId="39" xfId="60" applyNumberFormat="1" applyFont="1" applyFill="1" applyBorder="1"/>
    <xf numFmtId="178" fontId="54" fillId="0" borderId="39" xfId="121" applyNumberFormat="1" applyFont="1" applyFill="1" applyBorder="1"/>
    <xf numFmtId="170" fontId="54" fillId="0" borderId="39" xfId="176" applyNumberFormat="1" applyFont="1" applyBorder="1"/>
    <xf numFmtId="170" fontId="87" fillId="27" borderId="0" xfId="177" applyNumberFormat="1" applyFont="1" applyFill="1" applyBorder="1" applyAlignment="1">
      <alignment vertical="center"/>
    </xf>
    <xf numFmtId="43" fontId="64" fillId="27" borderId="0" xfId="59" applyNumberFormat="1" applyFont="1" applyFill="1" applyAlignment="1">
      <alignment vertical="center"/>
    </xf>
    <xf numFmtId="0" fontId="39" fillId="0" borderId="11" xfId="0" applyFont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169" fontId="7" fillId="0" borderId="17" xfId="117" applyFont="1" applyBorder="1" applyAlignment="1" applyProtection="1">
      <alignment wrapText="1"/>
      <protection locked="0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106" applyFont="1" applyBorder="1" applyAlignment="1">
      <alignment horizontal="center"/>
    </xf>
    <xf numFmtId="0" fontId="6" fillId="0" borderId="0" xfId="106" quotePrefix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1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00A" xfId="26"/>
    <cellStyle name="C00B" xfId="27"/>
    <cellStyle name="C00L" xfId="28"/>
    <cellStyle name="C01A" xfId="29"/>
    <cellStyle name="C01B" xfId="30"/>
    <cellStyle name="C01H" xfId="31"/>
    <cellStyle name="C01L" xfId="32"/>
    <cellStyle name="C02A" xfId="33"/>
    <cellStyle name="C02B" xfId="34"/>
    <cellStyle name="C02H" xfId="35"/>
    <cellStyle name="C02L" xfId="36"/>
    <cellStyle name="C03A" xfId="37"/>
    <cellStyle name="C03B" xfId="38"/>
    <cellStyle name="C03H" xfId="39"/>
    <cellStyle name="C03L" xfId="40"/>
    <cellStyle name="C04A" xfId="41"/>
    <cellStyle name="C04B" xfId="42"/>
    <cellStyle name="C04H" xfId="43"/>
    <cellStyle name="C04L" xfId="44"/>
    <cellStyle name="C05A" xfId="45"/>
    <cellStyle name="C05B" xfId="46"/>
    <cellStyle name="C05H" xfId="47"/>
    <cellStyle name="C05L" xfId="48"/>
    <cellStyle name="C06A" xfId="49"/>
    <cellStyle name="C06B" xfId="50"/>
    <cellStyle name="C06H" xfId="51"/>
    <cellStyle name="C06L" xfId="52"/>
    <cellStyle name="C07A" xfId="53"/>
    <cellStyle name="C07B" xfId="54"/>
    <cellStyle name="C07H" xfId="55"/>
    <cellStyle name="C07L" xfId="56"/>
    <cellStyle name="Calculation" xfId="57" builtinId="22" customBuiltin="1"/>
    <cellStyle name="Check Cell" xfId="58" builtinId="23" customBuiltin="1"/>
    <cellStyle name="Comma" xfId="59" builtinId="3"/>
    <cellStyle name="Comma 128" xfId="177"/>
    <cellStyle name="Comma 2" xfId="60"/>
    <cellStyle name="Comma 2 2" xfId="61"/>
    <cellStyle name="Comma 2 3" xfId="62"/>
    <cellStyle name="Comma 2 3 2" xfId="63"/>
    <cellStyle name="Comma 3" xfId="64"/>
    <cellStyle name="Comma 3 2" xfId="65"/>
    <cellStyle name="Comma 3 3" xfId="66"/>
    <cellStyle name="Comma 3 3 2" xfId="67"/>
    <cellStyle name="Comma 3 4" xfId="68"/>
    <cellStyle name="Comma 3 5" xfId="69"/>
    <cellStyle name="Comma 4" xfId="70"/>
    <cellStyle name="Comma 5" xfId="71"/>
    <cellStyle name="Comma 5 2" xfId="72"/>
    <cellStyle name="Comma 6" xfId="73"/>
    <cellStyle name="Comma 7" xfId="74"/>
    <cellStyle name="Comma 76" xfId="176"/>
    <cellStyle name="Comma0" xfId="75"/>
    <cellStyle name="Currency" xfId="76" builtinId="4"/>
    <cellStyle name="Currency 2" xfId="77"/>
    <cellStyle name="Currency 2 2" xfId="78"/>
    <cellStyle name="Currency 3" xfId="79"/>
    <cellStyle name="Currency 3 2" xfId="80"/>
    <cellStyle name="Currency 3 3" xfId="81"/>
    <cellStyle name="Currency 3 3 2" xfId="82"/>
    <cellStyle name="Currency 3 4" xfId="83"/>
    <cellStyle name="Currency 3 5" xfId="84"/>
    <cellStyle name="Currency 4" xfId="85"/>
    <cellStyle name="Currency 4 10" xfId="86"/>
    <cellStyle name="Currency 4 2" xfId="87"/>
    <cellStyle name="Currency 5" xfId="88"/>
    <cellStyle name="Currency 6" xfId="89"/>
    <cellStyle name="Currency0" xfId="90"/>
    <cellStyle name="Date" xfId="91"/>
    <cellStyle name="Explanatory Text" xfId="92" builtinId="53" customBuiltin="1"/>
    <cellStyle name="Fixed" xfId="93"/>
    <cellStyle name="Good" xfId="94" builtinId="26" customBuiltin="1"/>
    <cellStyle name="Heading 1" xfId="95" builtinId="16" customBuiltin="1"/>
    <cellStyle name="Heading 2" xfId="96" builtinId="17" customBuiltin="1"/>
    <cellStyle name="Heading 3" xfId="97" builtinId="18" customBuiltin="1"/>
    <cellStyle name="Heading 4" xfId="98" builtinId="19" customBuiltin="1"/>
    <cellStyle name="Heading1" xfId="99"/>
    <cellStyle name="Heading2" xfId="100"/>
    <cellStyle name="Input" xfId="101" builtinId="20" customBuiltin="1"/>
    <cellStyle name="Linked Cell" xfId="102" builtinId="24" customBuiltin="1"/>
    <cellStyle name="Neutral" xfId="103" builtinId="28" customBuiltin="1"/>
    <cellStyle name="Normal" xfId="0" builtinId="0"/>
    <cellStyle name="Normal 2" xfId="104"/>
    <cellStyle name="Normal 3" xfId="105"/>
    <cellStyle name="Normal 3 2" xfId="106"/>
    <cellStyle name="Normal 3_OPCo Period I PJM  Formula Rate" xfId="107"/>
    <cellStyle name="Normal 35" xfId="108"/>
    <cellStyle name="Normal 4" xfId="109"/>
    <cellStyle name="Normal 4 2" xfId="110"/>
    <cellStyle name="Normal 4 3" xfId="111"/>
    <cellStyle name="Normal 4 3 2" xfId="112"/>
    <cellStyle name="Normal 4 4" xfId="113"/>
    <cellStyle name="Normal 4 5" xfId="114"/>
    <cellStyle name="Normal 5" xfId="115"/>
    <cellStyle name="Normal 6" xfId="116"/>
    <cellStyle name="Normal_FN1 Ratebase Draft SPP template (6-11-04) v2" xfId="117"/>
    <cellStyle name="Note" xfId="118" builtinId="10" customBuiltin="1"/>
    <cellStyle name="Output" xfId="119" builtinId="21" customBuiltin="1"/>
    <cellStyle name="Percent" xfId="120" builtinId="5"/>
    <cellStyle name="Percent 2" xfId="121"/>
    <cellStyle name="Percent 2 2" xfId="122"/>
    <cellStyle name="Percent 3" xfId="123"/>
    <cellStyle name="Percent 3 2" xfId="124"/>
    <cellStyle name="Percent 3 3" xfId="125"/>
    <cellStyle name="Percent 3 3 2" xfId="126"/>
    <cellStyle name="Percent 3 4" xfId="127"/>
    <cellStyle name="Percent 3 5" xfId="128"/>
    <cellStyle name="Percent 4" xfId="129"/>
    <cellStyle name="Percent 4 2" xfId="130"/>
    <cellStyle name="Percent 5" xfId="131"/>
    <cellStyle name="Percent 6" xfId="132"/>
    <cellStyle name="Percent 7 2" xfId="133"/>
    <cellStyle name="PSChar" xfId="134"/>
    <cellStyle name="PSDate" xfId="135"/>
    <cellStyle name="PSDec" xfId="136"/>
    <cellStyle name="PSdesc" xfId="137"/>
    <cellStyle name="PSHeading" xfId="138"/>
    <cellStyle name="PSInt" xfId="139"/>
    <cellStyle name="PSSpacer" xfId="140"/>
    <cellStyle name="PStest" xfId="141"/>
    <cellStyle name="R00A" xfId="142"/>
    <cellStyle name="R00B" xfId="143"/>
    <cellStyle name="R00L" xfId="144"/>
    <cellStyle name="R01A" xfId="145"/>
    <cellStyle name="R01B" xfId="146"/>
    <cellStyle name="R01H" xfId="147"/>
    <cellStyle name="R01L" xfId="148"/>
    <cellStyle name="R02A" xfId="149"/>
    <cellStyle name="R02B" xfId="150"/>
    <cellStyle name="R02H" xfId="151"/>
    <cellStyle name="R02L" xfId="152"/>
    <cellStyle name="R03A" xfId="153"/>
    <cellStyle name="R03B" xfId="154"/>
    <cellStyle name="R03H" xfId="155"/>
    <cellStyle name="R03L" xfId="156"/>
    <cellStyle name="R04A" xfId="157"/>
    <cellStyle name="R04B" xfId="158"/>
    <cellStyle name="R04H" xfId="159"/>
    <cellStyle name="R04L" xfId="160"/>
    <cellStyle name="R05A" xfId="161"/>
    <cellStyle name="R05B" xfId="162"/>
    <cellStyle name="R05H" xfId="163"/>
    <cellStyle name="R05L" xfId="164"/>
    <cellStyle name="R06A" xfId="165"/>
    <cellStyle name="R06B" xfId="166"/>
    <cellStyle name="R06H" xfId="167"/>
    <cellStyle name="R06L" xfId="168"/>
    <cellStyle name="R07A" xfId="169"/>
    <cellStyle name="R07B" xfId="170"/>
    <cellStyle name="R07H" xfId="171"/>
    <cellStyle name="R07L" xfId="172"/>
    <cellStyle name="Title" xfId="173" builtinId="15" customBuiltin="1"/>
    <cellStyle name="Total" xfId="174" builtinId="25" customBuiltin="1"/>
    <cellStyle name="Warning Text" xfId="175" builtinId="11" customBuiltin="1"/>
  </cellStyles>
  <dxfs count="59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426720</xdr:colOff>
      <xdr:row>28</xdr:row>
      <xdr:rowOff>121920</xdr:rowOff>
    </xdr:from>
    <xdr:to>
      <xdr:col>4</xdr:col>
      <xdr:colOff>510540</xdr:colOff>
      <xdr:row>30</xdr:row>
      <xdr:rowOff>1270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015740" y="5501640"/>
          <a:ext cx="838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1021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40112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4113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3098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4122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9182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50206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tabSelected="1" zoomScale="90" zoomScaleNormal="90" zoomScaleSheetLayoutView="75" workbookViewId="0"/>
  </sheetViews>
  <sheetFormatPr defaultRowHeight="12.75" customHeight="1"/>
  <cols>
    <col min="1" max="1" width="7.42578125" customWidth="1"/>
    <col min="2" max="2" width="7" bestFit="1" customWidth="1"/>
    <col min="3" max="3" width="43.140625" customWidth="1"/>
    <col min="4" max="4" width="9.5703125" customWidth="1"/>
    <col min="5" max="5" width="12.5703125" customWidth="1"/>
    <col min="6" max="6" width="12.7109375" customWidth="1"/>
    <col min="7" max="7" width="14.85546875" customWidth="1"/>
    <col min="8" max="8" width="2.85546875" customWidth="1"/>
    <col min="9" max="9" width="15.42578125" customWidth="1"/>
    <col min="10" max="10" width="15.85546875" customWidth="1"/>
    <col min="11" max="11" width="14" customWidth="1"/>
    <col min="12" max="12" width="15.28515625" customWidth="1"/>
    <col min="13" max="13" width="2.42578125" customWidth="1"/>
    <col min="14" max="14" width="6.140625" customWidth="1"/>
    <col min="15" max="15" width="8.7109375" customWidth="1"/>
    <col min="16" max="17" width="10.7109375" customWidth="1"/>
    <col min="18" max="18" width="18.7109375" customWidth="1"/>
    <col min="19" max="19" width="2.42578125" customWidth="1"/>
    <col min="20" max="20" width="19.140625" customWidth="1"/>
    <col min="21" max="21" width="9.140625" customWidth="1"/>
    <col min="22" max="22" width="13.85546875" customWidth="1"/>
    <col min="23" max="26" width="9.140625" customWidth="1"/>
    <col min="28" max="28" width="12.140625" customWidth="1"/>
  </cols>
  <sheetData>
    <row r="1" spans="1:28" ht="15">
      <c r="H1" s="274" t="s">
        <v>152</v>
      </c>
      <c r="U1">
        <v>2019</v>
      </c>
    </row>
    <row r="2" spans="1:28" ht="15">
      <c r="H2" s="305" t="s">
        <v>183</v>
      </c>
    </row>
    <row r="3" spans="1:28" ht="15">
      <c r="H3" s="275" t="str">
        <f>"For Calendar Year "&amp;U1-1&amp;" and Projected Year "&amp;U1</f>
        <v>For Calendar Year 2018 and Projected Year 2019</v>
      </c>
    </row>
    <row r="4" spans="1:28" ht="15">
      <c r="H4" s="276"/>
    </row>
    <row r="5" spans="1:28" ht="15.75">
      <c r="H5" s="277" t="s">
        <v>153</v>
      </c>
    </row>
    <row r="7" spans="1:28" ht="18">
      <c r="C7" s="273"/>
      <c r="E7" s="273"/>
      <c r="F7" s="273"/>
      <c r="G7" s="273"/>
      <c r="H7" s="273" t="s">
        <v>119</v>
      </c>
      <c r="I7" s="273"/>
      <c r="J7" s="273"/>
      <c r="K7" s="273"/>
      <c r="L7" s="273"/>
    </row>
    <row r="8" spans="1:28">
      <c r="D8" s="107"/>
    </row>
    <row r="9" spans="1:28">
      <c r="A9" t="s">
        <v>250</v>
      </c>
    </row>
    <row r="12" spans="1:28" ht="22.5" customHeight="1">
      <c r="A12" s="290" t="s">
        <v>154</v>
      </c>
      <c r="B12" s="290" t="s">
        <v>155</v>
      </c>
      <c r="C12" s="356" t="s">
        <v>156</v>
      </c>
      <c r="D12" s="290" t="s">
        <v>157</v>
      </c>
      <c r="E12" s="290" t="s">
        <v>158</v>
      </c>
      <c r="F12" s="290" t="s">
        <v>159</v>
      </c>
      <c r="G12" s="290" t="str">
        <f>"(G) = "&amp;E12&amp;" + "&amp;F12</f>
        <v>(G) = (E) + (F)</v>
      </c>
      <c r="H12" s="290"/>
      <c r="I12" s="290" t="s">
        <v>160</v>
      </c>
      <c r="J12" s="290" t="s">
        <v>161</v>
      </c>
      <c r="K12" s="357" t="s">
        <v>189</v>
      </c>
      <c r="L12" s="290" t="str">
        <f>"(K) = "&amp;J12&amp;" - "&amp;K12</f>
        <v>(K) = (I) - (J)</v>
      </c>
      <c r="M12" s="290"/>
      <c r="N12" s="290" t="s">
        <v>190</v>
      </c>
      <c r="O12" s="290" t="s">
        <v>162</v>
      </c>
      <c r="P12" s="290" t="str">
        <f>"(N) = "&amp;N12&amp;"-"&amp;O12</f>
        <v>(N) = (L)-(M)</v>
      </c>
      <c r="Q12" s="290" t="s">
        <v>191</v>
      </c>
      <c r="R12" s="290" t="str">
        <f>"(P) = "&amp;I12&amp;"+"&amp;LEFT(L12,3)&amp;"+"&amp;LEFT(P12,3)&amp;"+"&amp;Q12</f>
        <v>(P) = (H)+(K)+(N)+(O)</v>
      </c>
      <c r="S12" s="290"/>
      <c r="T12" s="290" t="str">
        <f>"(Q) = "&amp;LEFT(G12,3)&amp;" + "&amp;LEFT(R12,3)</f>
        <v>(Q) = (G) + (P)</v>
      </c>
      <c r="U12" s="290"/>
      <c r="V12" s="291"/>
      <c r="W12" s="291"/>
      <c r="X12" s="291"/>
      <c r="Y12" s="291"/>
      <c r="Z12" s="291"/>
      <c r="AA12" s="291"/>
      <c r="AB12" s="291"/>
    </row>
    <row r="13" spans="1:28" ht="16.5" customHeight="1">
      <c r="A13" s="9"/>
      <c r="B13" s="9"/>
      <c r="C13" s="9"/>
      <c r="D13" s="9"/>
      <c r="E13" s="492" t="str">
        <f>"Projected ARR For "&amp;U1&amp;" From WS-F"</f>
        <v>Projected ARR For 2019 From WS-F</v>
      </c>
      <c r="F13" s="492"/>
      <c r="G13" s="492"/>
      <c r="H13" s="9"/>
      <c r="I13" s="286" t="s">
        <v>344</v>
      </c>
      <c r="J13" s="286"/>
      <c r="K13" s="286"/>
      <c r="L13" s="286"/>
      <c r="M13" s="286"/>
      <c r="N13" s="286"/>
      <c r="O13" s="286"/>
      <c r="P13" s="286"/>
      <c r="Q13" s="286"/>
      <c r="R13" s="330"/>
      <c r="S13" s="9"/>
      <c r="T13" s="9"/>
      <c r="U13" s="9"/>
    </row>
    <row r="14" spans="1:28" ht="18" customHeight="1">
      <c r="I14" s="352"/>
      <c r="T14" s="493" t="str">
        <f>"Total ADJUSTED Revenue Requirement Effective
1/1/"&amp;U1&amp;""</f>
        <v>Total ADJUSTED Revenue Requirement Effective
1/1/2019</v>
      </c>
    </row>
    <row r="15" spans="1:28" ht="18" customHeight="1" thickBot="1">
      <c r="D15" s="9"/>
      <c r="E15" s="278"/>
      <c r="F15" s="278"/>
      <c r="G15" s="278"/>
      <c r="I15" s="286" t="s">
        <v>163</v>
      </c>
      <c r="J15" s="329"/>
      <c r="K15" s="329"/>
      <c r="L15" s="329"/>
      <c r="M15" s="285"/>
      <c r="N15" s="286" t="s">
        <v>188</v>
      </c>
      <c r="O15" s="328"/>
      <c r="P15" s="328"/>
      <c r="Q15" s="287"/>
      <c r="T15" s="493"/>
    </row>
    <row r="16" spans="1:28" ht="69" customHeight="1">
      <c r="A16" s="288" t="s">
        <v>173</v>
      </c>
      <c r="B16" s="279" t="s">
        <v>164</v>
      </c>
      <c r="C16" s="279" t="s">
        <v>126</v>
      </c>
      <c r="D16" s="289" t="s">
        <v>165</v>
      </c>
      <c r="E16" s="323" t="s">
        <v>187</v>
      </c>
      <c r="F16" s="280" t="s">
        <v>166</v>
      </c>
      <c r="G16" s="280" t="s">
        <v>167</v>
      </c>
      <c r="I16" s="284" t="s">
        <v>334</v>
      </c>
      <c r="J16" s="284" t="s">
        <v>333</v>
      </c>
      <c r="K16" s="284" t="s">
        <v>335</v>
      </c>
      <c r="L16" s="284" t="s">
        <v>337</v>
      </c>
      <c r="M16" s="284"/>
      <c r="N16" s="321" t="s">
        <v>168</v>
      </c>
      <c r="O16" s="321" t="s">
        <v>169</v>
      </c>
      <c r="P16" s="281" t="s">
        <v>170</v>
      </c>
      <c r="Q16" s="321" t="s">
        <v>336</v>
      </c>
      <c r="R16" s="323" t="s">
        <v>211</v>
      </c>
      <c r="T16" s="493"/>
      <c r="V16" s="332" t="s">
        <v>192</v>
      </c>
    </row>
    <row r="17" spans="1:28">
      <c r="B17" s="9"/>
      <c r="C17" s="9"/>
      <c r="E17" s="49"/>
      <c r="F17" s="49"/>
      <c r="G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49"/>
      <c r="V17" s="331"/>
    </row>
    <row r="18" spans="1:28">
      <c r="A18" s="290" t="s">
        <v>172</v>
      </c>
      <c r="B18" s="290" t="s">
        <v>112</v>
      </c>
      <c r="C18" s="301" t="str">
        <f t="shared" ref="C18:F44" ca="1" si="0">INDIRECT("'"&amp; $A18 &amp; "'!" &amp;C$54)</f>
        <v>Riverside-Glenpool (81-523) Reconductor</v>
      </c>
      <c r="D18" s="292">
        <f t="shared" ca="1" si="0"/>
        <v>2009</v>
      </c>
      <c r="E18" s="324">
        <f t="shared" ca="1" si="0"/>
        <v>102569.83805108386</v>
      </c>
      <c r="F18" s="325">
        <f t="shared" ca="1" si="0"/>
        <v>0</v>
      </c>
      <c r="G18" s="325">
        <f t="shared" ref="G18:G27" ca="1" si="1">+E18+F18</f>
        <v>102569.83805108386</v>
      </c>
      <c r="H18" s="326"/>
      <c r="I18" s="324">
        <f ca="1">INDIRECT("'"&amp; $A18 &amp; "'!" &amp;I$54)</f>
        <v>167.00057376724726</v>
      </c>
      <c r="J18" s="458">
        <v>108625.01299372003</v>
      </c>
      <c r="K18" s="293">
        <f>J18/J$47*K$47</f>
        <v>107849.73557778911</v>
      </c>
      <c r="L18" s="324">
        <f t="shared" ref="L18:L27" si="2">+J18-K18</f>
        <v>775.27741593091923</v>
      </c>
      <c r="M18" s="324"/>
      <c r="N18" s="325">
        <v>0</v>
      </c>
      <c r="O18" s="325">
        <v>0</v>
      </c>
      <c r="P18" s="325">
        <f t="shared" ref="P18:P26" si="3">+N18-O18</f>
        <v>0</v>
      </c>
      <c r="Q18" s="324">
        <f ca="1">+V18/$V$47 * $Q$47</f>
        <v>627.90669471661442</v>
      </c>
      <c r="R18" s="294">
        <f t="shared" ref="R18:R27" ca="1" si="4">I18+L18+P18+Q18</f>
        <v>1570.1846844147808</v>
      </c>
      <c r="S18" s="294"/>
      <c r="T18" s="295">
        <f t="shared" ref="T18:T27" ca="1" si="5">+G18+R18</f>
        <v>104140.02273549864</v>
      </c>
      <c r="V18" s="360">
        <f t="shared" ref="V18:V27" ca="1" si="6">+I18+L18+P18</f>
        <v>942.27798969816649</v>
      </c>
      <c r="W18" s="291" t="str">
        <f>A18</f>
        <v>P.001</v>
      </c>
      <c r="AB18" s="365"/>
    </row>
    <row r="19" spans="1:28" ht="25.5">
      <c r="A19" s="290" t="s">
        <v>174</v>
      </c>
      <c r="B19" s="290" t="s">
        <v>112</v>
      </c>
      <c r="C19" s="301" t="str">
        <f t="shared" ca="1" si="0"/>
        <v>Craig Jct. to Broken Bow Dam 138 Rebuild (7.7mi)</v>
      </c>
      <c r="D19" s="292">
        <f t="shared" ca="1" si="0"/>
        <v>2009</v>
      </c>
      <c r="E19" s="324">
        <f t="shared" ca="1" si="0"/>
        <v>532941.26061774243</v>
      </c>
      <c r="F19" s="325">
        <f t="shared" ca="1" si="0"/>
        <v>0</v>
      </c>
      <c r="G19" s="325">
        <f t="shared" ca="1" si="1"/>
        <v>532941.26061774243</v>
      </c>
      <c r="H19" s="326"/>
      <c r="I19" s="324">
        <f t="shared" ref="I19:I44" ca="1" si="7">INDIRECT("'"&amp; $A19 &amp; "'!" &amp;I$54)</f>
        <v>5769.4689972528722</v>
      </c>
      <c r="J19" s="458">
        <v>569388.84775874717</v>
      </c>
      <c r="K19" s="293">
        <f t="shared" ref="K19:K35" si="8">J19/J$47*K$47</f>
        <v>565325.01105682843</v>
      </c>
      <c r="L19" s="324">
        <f t="shared" si="2"/>
        <v>4063.8367019187426</v>
      </c>
      <c r="M19" s="324"/>
      <c r="N19" s="325">
        <v>0</v>
      </c>
      <c r="O19" s="325">
        <v>0</v>
      </c>
      <c r="P19" s="325">
        <f t="shared" si="3"/>
        <v>0</v>
      </c>
      <c r="Q19" s="324">
        <f t="shared" ref="Q19:Q44" ca="1" si="9">+V19/$V$47 * $Q$47</f>
        <v>6552.6294227489052</v>
      </c>
      <c r="R19" s="294">
        <f t="shared" ca="1" si="4"/>
        <v>16385.93512192052</v>
      </c>
      <c r="S19" s="294"/>
      <c r="T19" s="296">
        <f t="shared" ca="1" si="5"/>
        <v>549327.19573966297</v>
      </c>
      <c r="V19" s="360">
        <f t="shared" ca="1" si="6"/>
        <v>9833.3056991716148</v>
      </c>
      <c r="W19" s="291" t="str">
        <f t="shared" ref="W19:W25" si="10">A19</f>
        <v>P.002</v>
      </c>
      <c r="AB19" s="365"/>
    </row>
    <row r="20" spans="1:28" ht="25.5">
      <c r="A20" s="290" t="s">
        <v>175</v>
      </c>
      <c r="B20" s="290" t="s">
        <v>112</v>
      </c>
      <c r="C20" s="302" t="str">
        <f t="shared" ca="1" si="0"/>
        <v>WFEC New 138 kV Ties: Sayre to Erick (WFEC) Line &amp; Atoka and Tupelo station work</v>
      </c>
      <c r="D20" s="292">
        <f t="shared" ca="1" si="0"/>
        <v>2009</v>
      </c>
      <c r="E20" s="324">
        <f t="shared" ca="1" si="0"/>
        <v>1310790.7332032048</v>
      </c>
      <c r="F20" s="325">
        <f t="shared" ca="1" si="0"/>
        <v>0</v>
      </c>
      <c r="G20" s="325">
        <f t="shared" ca="1" si="1"/>
        <v>1310790.7332032048</v>
      </c>
      <c r="H20" s="326"/>
      <c r="I20" s="324">
        <f t="shared" ca="1" si="7"/>
        <v>8501.0797525143716</v>
      </c>
      <c r="J20" s="458">
        <v>1395039.9625301256</v>
      </c>
      <c r="K20" s="293">
        <f t="shared" si="8"/>
        <v>1385083.2964965552</v>
      </c>
      <c r="L20" s="324">
        <f t="shared" si="2"/>
        <v>9956.6660335704219</v>
      </c>
      <c r="M20" s="324"/>
      <c r="N20" s="325">
        <v>0</v>
      </c>
      <c r="O20" s="325">
        <v>0</v>
      </c>
      <c r="P20" s="325">
        <f t="shared" si="3"/>
        <v>0</v>
      </c>
      <c r="Q20" s="324">
        <f t="shared" ca="1" si="9"/>
        <v>12299.705899076007</v>
      </c>
      <c r="R20" s="294">
        <f t="shared" ca="1" si="4"/>
        <v>30757.451685160799</v>
      </c>
      <c r="S20" s="294"/>
      <c r="T20" s="296">
        <f t="shared" ca="1" si="5"/>
        <v>1341548.1848883657</v>
      </c>
      <c r="V20" s="360">
        <f t="shared" ca="1" si="6"/>
        <v>18457.745786084794</v>
      </c>
      <c r="W20" s="291" t="str">
        <f t="shared" si="10"/>
        <v>P.003</v>
      </c>
      <c r="AB20" s="365"/>
    </row>
    <row r="21" spans="1:28" ht="25.5">
      <c r="A21" s="290" t="s">
        <v>176</v>
      </c>
      <c r="B21" s="290" t="s">
        <v>112</v>
      </c>
      <c r="C21" s="302" t="str">
        <f t="shared" ca="1" si="0"/>
        <v>Cache-Snyder to Altus Jct. 138 kV line (w/2 ring bus stations)</v>
      </c>
      <c r="D21" s="292">
        <f t="shared" ca="1" si="0"/>
        <v>2008</v>
      </c>
      <c r="E21" s="324">
        <f t="shared" ca="1" si="0"/>
        <v>1638222.8007125233</v>
      </c>
      <c r="F21" s="325">
        <f t="shared" ca="1" si="0"/>
        <v>0</v>
      </c>
      <c r="G21" s="325">
        <f t="shared" ca="1" si="1"/>
        <v>1638222.8007125233</v>
      </c>
      <c r="H21" s="326"/>
      <c r="I21" s="324">
        <f t="shared" ca="1" si="7"/>
        <v>-1994.2173913042061</v>
      </c>
      <c r="J21" s="458">
        <v>1732228.8785758351</v>
      </c>
      <c r="K21" s="293">
        <f t="shared" si="8"/>
        <v>1719865.6309980345</v>
      </c>
      <c r="L21" s="324">
        <f t="shared" si="2"/>
        <v>12363.247577800648</v>
      </c>
      <c r="M21" s="324"/>
      <c r="N21" s="325">
        <v>0</v>
      </c>
      <c r="O21" s="325">
        <v>0</v>
      </c>
      <c r="P21" s="325">
        <f t="shared" si="3"/>
        <v>0</v>
      </c>
      <c r="Q21" s="324">
        <f t="shared" ca="1" si="9"/>
        <v>6909.6206671508226</v>
      </c>
      <c r="R21" s="294">
        <f t="shared" ca="1" si="4"/>
        <v>17278.650853647265</v>
      </c>
      <c r="S21" s="294"/>
      <c r="T21" s="296">
        <f t="shared" ca="1" si="5"/>
        <v>1655501.4515661704</v>
      </c>
      <c r="V21" s="360">
        <f t="shared" ca="1" si="6"/>
        <v>10369.030186496442</v>
      </c>
      <c r="W21" s="291" t="str">
        <f t="shared" si="10"/>
        <v>P.004</v>
      </c>
      <c r="AB21" s="365"/>
    </row>
    <row r="22" spans="1:28">
      <c r="A22" s="357" t="s">
        <v>177</v>
      </c>
      <c r="B22" s="290" t="s">
        <v>112</v>
      </c>
      <c r="C22" s="302" t="str">
        <f t="shared" ca="1" si="0"/>
        <v>Catoosa 138 kV Device (Cap. Bank)</v>
      </c>
      <c r="D22" s="292">
        <f t="shared" ca="1" si="0"/>
        <v>2006</v>
      </c>
      <c r="E22" s="324">
        <f t="shared" ca="1" si="0"/>
        <v>41809.897213779383</v>
      </c>
      <c r="F22" s="325">
        <f t="shared" ca="1" si="0"/>
        <v>0</v>
      </c>
      <c r="G22" s="325">
        <f t="shared" ca="1" si="1"/>
        <v>41809.897213779383</v>
      </c>
      <c r="H22" s="326"/>
      <c r="I22" s="324">
        <f t="shared" ca="1" si="7"/>
        <v>316.90142338225269</v>
      </c>
      <c r="J22" s="458">
        <v>44547.239416088021</v>
      </c>
      <c r="K22" s="293">
        <f t="shared" si="8"/>
        <v>44229.297280022576</v>
      </c>
      <c r="L22" s="324">
        <f t="shared" si="2"/>
        <v>317.94213606544508</v>
      </c>
      <c r="M22" s="324"/>
      <c r="N22" s="325">
        <v>0</v>
      </c>
      <c r="O22" s="325">
        <v>0</v>
      </c>
      <c r="P22" s="325">
        <f t="shared" si="3"/>
        <v>0</v>
      </c>
      <c r="Q22" s="324">
        <f t="shared" ca="1" si="9"/>
        <v>423.04131629204505</v>
      </c>
      <c r="R22" s="294">
        <f t="shared" ca="1" si="4"/>
        <v>1057.8848757397427</v>
      </c>
      <c r="S22" s="294"/>
      <c r="T22" s="296">
        <f t="shared" ca="1" si="5"/>
        <v>42867.782089519125</v>
      </c>
      <c r="V22" s="360">
        <f t="shared" ca="1" si="6"/>
        <v>634.84355944769777</v>
      </c>
      <c r="W22" s="291" t="str">
        <f t="shared" si="10"/>
        <v>P.005</v>
      </c>
      <c r="AB22" s="365"/>
    </row>
    <row r="23" spans="1:28">
      <c r="A23" s="290" t="s">
        <v>178</v>
      </c>
      <c r="B23" s="290" t="s">
        <v>112</v>
      </c>
      <c r="C23" s="302" t="str">
        <f t="shared" ca="1" si="0"/>
        <v>Pryor Junction 138/69 Upgrade Transf</v>
      </c>
      <c r="D23" s="292">
        <f t="shared" ca="1" si="0"/>
        <v>2008</v>
      </c>
      <c r="E23" s="324">
        <f t="shared" ca="1" si="0"/>
        <v>170177.34445508715</v>
      </c>
      <c r="F23" s="325">
        <f t="shared" ca="1" si="0"/>
        <v>0</v>
      </c>
      <c r="G23" s="325">
        <f t="shared" ca="1" si="1"/>
        <v>170177.34445508715</v>
      </c>
      <c r="H23" s="326"/>
      <c r="I23" s="324">
        <f t="shared" ca="1" si="7"/>
        <v>1037.884497675579</v>
      </c>
      <c r="J23" s="458">
        <v>181020.31875576088</v>
      </c>
      <c r="K23" s="293">
        <f t="shared" si="8"/>
        <v>179728.34224788169</v>
      </c>
      <c r="L23" s="324">
        <f t="shared" si="2"/>
        <v>1291.9765078791825</v>
      </c>
      <c r="M23" s="324"/>
      <c r="N23" s="325">
        <v>0</v>
      </c>
      <c r="O23" s="325">
        <v>0</v>
      </c>
      <c r="P23" s="325">
        <f t="shared" si="3"/>
        <v>0</v>
      </c>
      <c r="Q23" s="324">
        <f t="shared" ca="1" si="9"/>
        <v>1552.551730106346</v>
      </c>
      <c r="R23" s="294">
        <f t="shared" ca="1" si="4"/>
        <v>3882.4127356611075</v>
      </c>
      <c r="S23" s="294"/>
      <c r="T23" s="296">
        <f t="shared" ca="1" si="5"/>
        <v>174059.75719074826</v>
      </c>
      <c r="V23" s="360">
        <f t="shared" ca="1" si="6"/>
        <v>2329.8610055547615</v>
      </c>
      <c r="W23" s="291" t="str">
        <f t="shared" si="10"/>
        <v>P.006</v>
      </c>
      <c r="AB23" s="365"/>
    </row>
    <row r="24" spans="1:28">
      <c r="A24" s="290" t="s">
        <v>179</v>
      </c>
      <c r="B24" s="290" t="s">
        <v>112</v>
      </c>
      <c r="C24" s="302" t="str">
        <f t="shared" ca="1" si="0"/>
        <v>Elk City - Elk City 69 kV line (CT Upgrades)*</v>
      </c>
      <c r="D24" s="292">
        <f t="shared" ca="1" si="0"/>
        <v>2007</v>
      </c>
      <c r="E24" s="324">
        <f t="shared" ca="1" si="0"/>
        <v>9408.7099366610164</v>
      </c>
      <c r="F24" s="325">
        <f t="shared" ca="1" si="0"/>
        <v>0</v>
      </c>
      <c r="G24" s="325">
        <f t="shared" ca="1" si="1"/>
        <v>9408.7099366610164</v>
      </c>
      <c r="H24" s="326"/>
      <c r="I24" s="324">
        <f t="shared" ca="1" si="7"/>
        <v>36.252533591939937</v>
      </c>
      <c r="J24" s="458">
        <v>9985.5707648746993</v>
      </c>
      <c r="K24" s="293">
        <f t="shared" si="8"/>
        <v>9914.3018436029961</v>
      </c>
      <c r="L24" s="324">
        <f t="shared" si="2"/>
        <v>71.268921271703221</v>
      </c>
      <c r="M24" s="324"/>
      <c r="N24" s="325">
        <v>0</v>
      </c>
      <c r="O24" s="325">
        <v>0</v>
      </c>
      <c r="P24" s="325">
        <f t="shared" si="3"/>
        <v>0</v>
      </c>
      <c r="Q24" s="324">
        <f t="shared" ca="1" si="9"/>
        <v>71.649175798086873</v>
      </c>
      <c r="R24" s="294">
        <f t="shared" ca="1" si="4"/>
        <v>179.17063066173003</v>
      </c>
      <c r="S24" s="364" t="s">
        <v>214</v>
      </c>
      <c r="T24" s="296">
        <f t="shared" ca="1" si="5"/>
        <v>9587.8805673227471</v>
      </c>
      <c r="V24" s="360">
        <f t="shared" ca="1" si="6"/>
        <v>107.52145486364316</v>
      </c>
      <c r="W24" s="291" t="str">
        <f t="shared" si="10"/>
        <v>P.007</v>
      </c>
      <c r="AB24" s="365"/>
    </row>
    <row r="25" spans="1:28" ht="25.5">
      <c r="A25" s="290" t="s">
        <v>180</v>
      </c>
      <c r="B25" s="290" t="s">
        <v>112</v>
      </c>
      <c r="C25" s="302" t="str">
        <f t="shared" ca="1" si="0"/>
        <v>Weleetka &amp; Okmulgee Wavetrap replacement 81-805*</v>
      </c>
      <c r="D25" s="292">
        <f t="shared" ca="1" si="0"/>
        <v>2006</v>
      </c>
      <c r="E25" s="324">
        <f t="shared" ca="1" si="0"/>
        <v>6059.9903761062678</v>
      </c>
      <c r="F25" s="325">
        <f t="shared" ca="1" si="0"/>
        <v>0</v>
      </c>
      <c r="G25" s="325">
        <f t="shared" ca="1" si="1"/>
        <v>6059.9903761062678</v>
      </c>
      <c r="H25" s="326"/>
      <c r="I25" s="324">
        <f t="shared" ca="1" si="7"/>
        <v>112.90230468980644</v>
      </c>
      <c r="J25" s="458">
        <v>6524.37805957814</v>
      </c>
      <c r="K25" s="293">
        <f t="shared" si="8"/>
        <v>6477.8123301648011</v>
      </c>
      <c r="L25" s="324">
        <f t="shared" si="2"/>
        <v>46.565729413338886</v>
      </c>
      <c r="M25" s="324"/>
      <c r="N25" s="325">
        <v>0</v>
      </c>
      <c r="O25" s="325">
        <v>0</v>
      </c>
      <c r="P25" s="325">
        <f t="shared" si="3"/>
        <v>0</v>
      </c>
      <c r="Q25" s="324">
        <f t="shared" ca="1" si="9"/>
        <v>106.2648680128214</v>
      </c>
      <c r="R25" s="294">
        <f t="shared" ca="1" si="4"/>
        <v>265.73290211596674</v>
      </c>
      <c r="S25" s="364" t="s">
        <v>214</v>
      </c>
      <c r="T25" s="296">
        <f t="shared" ca="1" si="5"/>
        <v>6325.7232782222345</v>
      </c>
      <c r="V25" s="360">
        <f ca="1">+I25+L25+P25</f>
        <v>159.46803410314533</v>
      </c>
      <c r="W25" s="291" t="str">
        <f t="shared" si="10"/>
        <v>P.008</v>
      </c>
      <c r="AB25" s="365"/>
    </row>
    <row r="26" spans="1:28">
      <c r="A26" s="290" t="s">
        <v>181</v>
      </c>
      <c r="B26" s="290" t="s">
        <v>112</v>
      </c>
      <c r="C26" s="302" t="str">
        <f t="shared" ca="1" si="0"/>
        <v>Tulsa Southeast Upgrade (repl switches)*</v>
      </c>
      <c r="D26" s="292">
        <f t="shared" ca="1" si="0"/>
        <v>2007</v>
      </c>
      <c r="E26" s="324">
        <f t="shared" ca="1" si="0"/>
        <v>7989.0212540933571</v>
      </c>
      <c r="F26" s="325">
        <f t="shared" ca="1" si="0"/>
        <v>0</v>
      </c>
      <c r="G26" s="325">
        <f t="shared" ca="1" si="1"/>
        <v>7989.0212540933571</v>
      </c>
      <c r="H26" s="326"/>
      <c r="I26" s="324">
        <f t="shared" ca="1" si="7"/>
        <v>140.8187441232003</v>
      </c>
      <c r="J26" s="458">
        <v>8592.0177739245883</v>
      </c>
      <c r="K26" s="293">
        <f t="shared" si="8"/>
        <v>8530.6949058869486</v>
      </c>
      <c r="L26" s="324">
        <f t="shared" si="2"/>
        <v>61.322868037639637</v>
      </c>
      <c r="M26" s="324"/>
      <c r="N26" s="325">
        <v>0</v>
      </c>
      <c r="O26" s="325">
        <v>0</v>
      </c>
      <c r="P26" s="325">
        <f t="shared" si="3"/>
        <v>0</v>
      </c>
      <c r="Q26" s="324">
        <f t="shared" ca="1" si="9"/>
        <v>134.70130146758302</v>
      </c>
      <c r="R26" s="294">
        <f t="shared" ca="1" si="4"/>
        <v>336.84291362842293</v>
      </c>
      <c r="S26" s="364" t="s">
        <v>214</v>
      </c>
      <c r="T26" s="296">
        <f t="shared" ca="1" si="5"/>
        <v>8325.8641677217802</v>
      </c>
      <c r="V26" s="360">
        <f t="shared" ca="1" si="6"/>
        <v>202.14161216083994</v>
      </c>
      <c r="W26" s="291" t="str">
        <f t="shared" ref="W26:W31" si="11">A26</f>
        <v>P.009</v>
      </c>
      <c r="AB26" s="365"/>
    </row>
    <row r="27" spans="1:28">
      <c r="A27" s="290" t="s">
        <v>213</v>
      </c>
      <c r="B27" s="290" t="s">
        <v>112</v>
      </c>
      <c r="C27" s="303" t="str">
        <f t="shared" ca="1" si="0"/>
        <v>Wavetrap Clinton City-Foss Tap 69kV Ckt 1*</v>
      </c>
      <c r="D27" s="292">
        <f t="shared" ca="1" si="0"/>
        <v>2010</v>
      </c>
      <c r="E27" s="324">
        <f t="shared" ca="1" si="0"/>
        <v>11204.44220775155</v>
      </c>
      <c r="F27" s="325">
        <f t="shared" ca="1" si="0"/>
        <v>0</v>
      </c>
      <c r="G27" s="325">
        <f t="shared" ca="1" si="1"/>
        <v>11204.44220775155</v>
      </c>
      <c r="H27" s="326"/>
      <c r="I27" s="324">
        <f t="shared" ca="1" si="7"/>
        <v>107.09298400830266</v>
      </c>
      <c r="J27" s="458">
        <v>11953.671063657495</v>
      </c>
      <c r="K27" s="293">
        <f t="shared" si="8"/>
        <v>11868.355435537329</v>
      </c>
      <c r="L27" s="324">
        <f t="shared" si="2"/>
        <v>85.315628120166366</v>
      </c>
      <c r="M27" s="324"/>
      <c r="N27" s="325">
        <v>0</v>
      </c>
      <c r="O27" s="325">
        <v>0</v>
      </c>
      <c r="P27" s="325">
        <f t="shared" ref="P27:P33" si="12">+N27-O27</f>
        <v>0</v>
      </c>
      <c r="Q27" s="324">
        <f t="shared" ca="1" si="9"/>
        <v>128.21551282896655</v>
      </c>
      <c r="R27" s="294">
        <f t="shared" ca="1" si="4"/>
        <v>320.62412495743558</v>
      </c>
      <c r="S27" s="294"/>
      <c r="T27" s="296">
        <f t="shared" ca="1" si="5"/>
        <v>11525.066332708986</v>
      </c>
      <c r="V27" s="360">
        <f t="shared" ca="1" si="6"/>
        <v>192.40861212846903</v>
      </c>
      <c r="W27" s="291" t="str">
        <f t="shared" si="11"/>
        <v>P.010</v>
      </c>
      <c r="AB27" s="365"/>
    </row>
    <row r="28" spans="1:28">
      <c r="A28" s="357" t="s">
        <v>220</v>
      </c>
      <c r="B28" s="290" t="s">
        <v>112</v>
      </c>
      <c r="C28" s="303" t="str">
        <f t="shared" ca="1" si="0"/>
        <v>Bartlesville SE to Coffeyville T Rebuild</v>
      </c>
      <c r="D28" s="292">
        <f t="shared" ca="1" si="0"/>
        <v>2011</v>
      </c>
      <c r="E28" s="324">
        <f t="shared" ca="1" si="0"/>
        <v>165912.69365934882</v>
      </c>
      <c r="F28" s="325">
        <f t="shared" ca="1" si="0"/>
        <v>0</v>
      </c>
      <c r="G28" s="325">
        <f t="shared" ref="G28:G33" ca="1" si="13">+E28+F28</f>
        <v>165912.69365934882</v>
      </c>
      <c r="H28" s="326"/>
      <c r="I28" s="324">
        <f t="shared" ca="1" si="7"/>
        <v>1119.9143875052105</v>
      </c>
      <c r="J28" s="458">
        <v>176532.23661201712</v>
      </c>
      <c r="K28" s="293">
        <f t="shared" si="8"/>
        <v>175272.29240158945</v>
      </c>
      <c r="L28" s="324">
        <f t="shared" ref="L28:L33" si="14">+J28-K28</f>
        <v>1259.9442104276677</v>
      </c>
      <c r="M28" s="324"/>
      <c r="N28" s="325">
        <v>0</v>
      </c>
      <c r="O28" s="325">
        <v>0</v>
      </c>
      <c r="P28" s="325">
        <f t="shared" si="12"/>
        <v>0</v>
      </c>
      <c r="Q28" s="324">
        <f t="shared" ca="1" si="9"/>
        <v>1585.8686740625431</v>
      </c>
      <c r="R28" s="294">
        <f t="shared" ref="R28:R33" ca="1" si="15">I28+L28+P28+Q28</f>
        <v>3965.7272719954212</v>
      </c>
      <c r="S28" s="294"/>
      <c r="T28" s="296">
        <f t="shared" ref="T28:T33" ca="1" si="16">+G28+R28</f>
        <v>169878.42093134424</v>
      </c>
      <c r="V28" s="360">
        <f t="shared" ref="V28:V33" ca="1" si="17">+I28+L28+P28</f>
        <v>2379.8585979328782</v>
      </c>
      <c r="W28" s="291" t="str">
        <f t="shared" si="11"/>
        <v>P.011</v>
      </c>
      <c r="AB28" s="365"/>
    </row>
    <row r="29" spans="1:28" ht="25.5">
      <c r="A29" s="357" t="s">
        <v>228</v>
      </c>
      <c r="B29" s="290" t="s">
        <v>112</v>
      </c>
      <c r="C29" s="303" t="str">
        <f t="shared" ca="1" si="0"/>
        <v>Canadian River - McAlester City 138 kV Line Conversion</v>
      </c>
      <c r="D29" s="292">
        <f t="shared" ca="1" si="0"/>
        <v>2012</v>
      </c>
      <c r="E29" s="324">
        <f t="shared" ca="1" si="0"/>
        <v>403446.06827075174</v>
      </c>
      <c r="F29" s="325">
        <f t="shared" ca="1" si="0"/>
        <v>0</v>
      </c>
      <c r="G29" s="325">
        <f t="shared" ca="1" si="13"/>
        <v>403446.06827075174</v>
      </c>
      <c r="H29" s="326"/>
      <c r="I29" s="324">
        <f t="shared" ca="1" si="7"/>
        <v>1187.3509423191426</v>
      </c>
      <c r="J29" s="458">
        <v>427588.99111547321</v>
      </c>
      <c r="K29" s="293">
        <f t="shared" si="8"/>
        <v>424537.20700998663</v>
      </c>
      <c r="L29" s="324">
        <f t="shared" si="14"/>
        <v>3051.7841054865858</v>
      </c>
      <c r="M29" s="324"/>
      <c r="N29" s="325">
        <v>0</v>
      </c>
      <c r="O29" s="325">
        <v>0</v>
      </c>
      <c r="P29" s="325">
        <f t="shared" si="12"/>
        <v>0</v>
      </c>
      <c r="Q29" s="324">
        <f t="shared" ca="1" si="9"/>
        <v>2824.8365189742813</v>
      </c>
      <c r="R29" s="294">
        <f t="shared" ca="1" si="15"/>
        <v>7063.9715667800101</v>
      </c>
      <c r="S29" s="294"/>
      <c r="T29" s="296">
        <f t="shared" ca="1" si="16"/>
        <v>410510.03983753175</v>
      </c>
      <c r="V29" s="360">
        <f t="shared" ca="1" si="17"/>
        <v>4239.1350478057284</v>
      </c>
      <c r="W29" s="291" t="str">
        <f t="shared" si="11"/>
        <v>P.012</v>
      </c>
      <c r="AB29" s="365"/>
    </row>
    <row r="30" spans="1:28" ht="15.75" customHeight="1">
      <c r="A30" s="357" t="s">
        <v>230</v>
      </c>
      <c r="B30" s="290" t="s">
        <v>112</v>
      </c>
      <c r="C30" s="303" t="str">
        <f t="shared" ca="1" si="0"/>
        <v>CoffeyvilleT to Dearing 138 kv Rebuild - 1.1 mi*</v>
      </c>
      <c r="D30" s="292">
        <f t="shared" ca="1" si="0"/>
        <v>2010</v>
      </c>
      <c r="E30" s="324">
        <f t="shared" ca="1" si="0"/>
        <v>2666.8814890183439</v>
      </c>
      <c r="F30" s="325">
        <f t="shared" ca="1" si="0"/>
        <v>0</v>
      </c>
      <c r="G30" s="325">
        <f t="shared" ca="1" si="13"/>
        <v>2666.8814890183439</v>
      </c>
      <c r="H30" s="326"/>
      <c r="I30" s="324">
        <f t="shared" ca="1" si="7"/>
        <v>14.663661174675781</v>
      </c>
      <c r="J30" s="458">
        <v>2835.0626886637419</v>
      </c>
      <c r="K30" s="293">
        <f t="shared" si="8"/>
        <v>2814.8283060414224</v>
      </c>
      <c r="L30" s="324">
        <f t="shared" si="14"/>
        <v>20.234382622319572</v>
      </c>
      <c r="M30" s="324"/>
      <c r="N30" s="325">
        <v>0</v>
      </c>
      <c r="O30" s="325">
        <v>0</v>
      </c>
      <c r="P30" s="325">
        <f t="shared" si="12"/>
        <v>0</v>
      </c>
      <c r="Q30" s="324">
        <f t="shared" ca="1" si="9"/>
        <v>23.255043174324971</v>
      </c>
      <c r="R30" s="294">
        <f t="shared" ca="1" si="15"/>
        <v>58.15308697132032</v>
      </c>
      <c r="S30" s="294"/>
      <c r="T30" s="296">
        <f t="shared" ca="1" si="16"/>
        <v>2725.0345759896641</v>
      </c>
      <c r="V30" s="360">
        <f ca="1">+I30+L30+P30</f>
        <v>34.898043796995353</v>
      </c>
      <c r="W30" s="291" t="str">
        <f t="shared" si="11"/>
        <v>P.013</v>
      </c>
      <c r="AB30" s="365"/>
    </row>
    <row r="31" spans="1:28" ht="15.75" customHeight="1">
      <c r="A31" s="407" t="s">
        <v>233</v>
      </c>
      <c r="B31" s="290" t="s">
        <v>112</v>
      </c>
      <c r="C31" s="303" t="str">
        <f t="shared" ca="1" si="0"/>
        <v>Ashdown West - Craig Junction</v>
      </c>
      <c r="D31" s="292">
        <f t="shared" ca="1" si="0"/>
        <v>2013</v>
      </c>
      <c r="E31" s="324">
        <f t="shared" ca="1" si="0"/>
        <v>117695.9465116283</v>
      </c>
      <c r="F31" s="325">
        <f t="shared" ca="1" si="0"/>
        <v>0</v>
      </c>
      <c r="G31" s="325">
        <f t="shared" ca="1" si="13"/>
        <v>117695.9465116283</v>
      </c>
      <c r="H31" s="326"/>
      <c r="I31" s="324">
        <f t="shared" ca="1" si="7"/>
        <v>10278.426578608371</v>
      </c>
      <c r="J31" s="458">
        <v>167052.78917425824</v>
      </c>
      <c r="K31" s="293">
        <f t="shared" si="8"/>
        <v>165860.50158647625</v>
      </c>
      <c r="L31" s="324">
        <f t="shared" si="14"/>
        <v>1192.2875877819897</v>
      </c>
      <c r="M31" s="324"/>
      <c r="N31" s="325">
        <v>0</v>
      </c>
      <c r="O31" s="325">
        <v>0</v>
      </c>
      <c r="P31" s="325">
        <f t="shared" si="12"/>
        <v>0</v>
      </c>
      <c r="Q31" s="324">
        <f t="shared" ca="1" si="9"/>
        <v>7643.7508856217228</v>
      </c>
      <c r="R31" s="294">
        <f t="shared" ca="1" si="15"/>
        <v>19114.465052012085</v>
      </c>
      <c r="S31" s="294"/>
      <c r="T31" s="296">
        <f t="shared" ca="1" si="16"/>
        <v>136810.41156364037</v>
      </c>
      <c r="V31" s="360">
        <f t="shared" ca="1" si="17"/>
        <v>11470.71416639036</v>
      </c>
      <c r="W31" s="291" t="str">
        <f t="shared" si="11"/>
        <v>P.014</v>
      </c>
      <c r="AB31" s="365"/>
    </row>
    <row r="32" spans="1:28" ht="25.5" customHeight="1">
      <c r="A32" s="407" t="s">
        <v>246</v>
      </c>
      <c r="B32" s="290" t="s">
        <v>112</v>
      </c>
      <c r="C32" s="303" t="str">
        <f t="shared" ca="1" si="0"/>
        <v>Locust Grove to Lone Star 115 kV Rebuild 2.1 miles</v>
      </c>
      <c r="D32" s="292">
        <f t="shared" ca="1" si="0"/>
        <v>2014</v>
      </c>
      <c r="E32" s="324">
        <f t="shared" ca="1" si="0"/>
        <v>279098.59002601594</v>
      </c>
      <c r="F32" s="325">
        <f t="shared" ca="1" si="0"/>
        <v>0</v>
      </c>
      <c r="G32" s="325">
        <f t="shared" ca="1" si="13"/>
        <v>279098.59002601594</v>
      </c>
      <c r="H32" s="326"/>
      <c r="I32" s="324">
        <f t="shared" ca="1" si="7"/>
        <v>1634.8817788617453</v>
      </c>
      <c r="J32" s="458">
        <v>297530.17806103436</v>
      </c>
      <c r="K32" s="293">
        <f t="shared" si="8"/>
        <v>295406.64848666312</v>
      </c>
      <c r="L32" s="324">
        <f t="shared" si="14"/>
        <v>2123.529574371234</v>
      </c>
      <c r="M32" s="324"/>
      <c r="N32" s="325">
        <v>0</v>
      </c>
      <c r="O32" s="325">
        <v>0</v>
      </c>
      <c r="P32" s="325">
        <f t="shared" si="12"/>
        <v>0</v>
      </c>
      <c r="Q32" s="324">
        <f t="shared" ca="1" si="9"/>
        <v>2504.4962059974032</v>
      </c>
      <c r="R32" s="294">
        <f t="shared" ca="1" si="15"/>
        <v>6262.9075592303825</v>
      </c>
      <c r="S32" s="294"/>
      <c r="T32" s="296">
        <f t="shared" ca="1" si="16"/>
        <v>285361.49758524634</v>
      </c>
      <c r="V32" s="360">
        <f t="shared" ca="1" si="17"/>
        <v>3758.4113532329793</v>
      </c>
      <c r="W32" s="291" t="str">
        <f t="shared" ref="W32:W45" si="18">A32</f>
        <v>P.015</v>
      </c>
      <c r="AB32" s="365"/>
    </row>
    <row r="33" spans="1:28" ht="15.75" customHeight="1">
      <c r="A33" s="407" t="s">
        <v>247</v>
      </c>
      <c r="B33" s="290" t="s">
        <v>112</v>
      </c>
      <c r="C33" s="303" t="str">
        <f t="shared" ca="1" si="0"/>
        <v>Cornville Station Conversion</v>
      </c>
      <c r="D33" s="292">
        <f t="shared" ca="1" si="0"/>
        <v>2014</v>
      </c>
      <c r="E33" s="324">
        <f t="shared" ca="1" si="0"/>
        <v>637218.97874084802</v>
      </c>
      <c r="F33" s="325">
        <f t="shared" ca="1" si="0"/>
        <v>0</v>
      </c>
      <c r="G33" s="325">
        <f t="shared" ca="1" si="13"/>
        <v>637218.97874084802</v>
      </c>
      <c r="H33" s="326"/>
      <c r="I33" s="324">
        <f t="shared" ca="1" si="7"/>
        <v>4014.8263271549949</v>
      </c>
      <c r="J33" s="458">
        <v>678593.08635191945</v>
      </c>
      <c r="K33" s="293">
        <f t="shared" si="8"/>
        <v>673749.83819059667</v>
      </c>
      <c r="L33" s="324">
        <f t="shared" si="14"/>
        <v>4843.2481613227865</v>
      </c>
      <c r="M33" s="324"/>
      <c r="N33" s="325">
        <v>0</v>
      </c>
      <c r="O33" s="325">
        <v>0</v>
      </c>
      <c r="P33" s="325">
        <f t="shared" si="12"/>
        <v>0</v>
      </c>
      <c r="Q33" s="324">
        <f t="shared" ca="1" si="9"/>
        <v>5902.7636583077792</v>
      </c>
      <c r="R33" s="294">
        <f t="shared" ca="1" si="15"/>
        <v>14760.838146785562</v>
      </c>
      <c r="S33" s="294"/>
      <c r="T33" s="296">
        <f t="shared" ca="1" si="16"/>
        <v>651979.81688763353</v>
      </c>
      <c r="V33" s="360">
        <f t="shared" ca="1" si="17"/>
        <v>8858.0744884777814</v>
      </c>
      <c r="W33" s="291" t="str">
        <f t="shared" si="18"/>
        <v>P.016</v>
      </c>
      <c r="AB33" s="365"/>
    </row>
    <row r="34" spans="1:28">
      <c r="A34" s="407" t="s">
        <v>258</v>
      </c>
      <c r="B34" s="290" t="s">
        <v>112</v>
      </c>
      <c r="C34" s="303" t="str">
        <f t="shared" ca="1" si="0"/>
        <v>Grady Customer Connection</v>
      </c>
      <c r="D34" s="292">
        <f t="shared" ca="1" si="0"/>
        <v>2015</v>
      </c>
      <c r="E34" s="324">
        <f t="shared" ca="1" si="0"/>
        <v>216741.56005757477</v>
      </c>
      <c r="F34" s="325">
        <f t="shared" ca="1" si="0"/>
        <v>0</v>
      </c>
      <c r="G34" s="325">
        <f t="shared" ref="G34:G42" ca="1" si="19">+E34+F34</f>
        <v>216741.56005757477</v>
      </c>
      <c r="H34" s="326"/>
      <c r="I34" s="324">
        <f t="shared" ca="1" si="7"/>
        <v>1342.2508443069237</v>
      </c>
      <c r="J34" s="458">
        <v>221275.2825759374</v>
      </c>
      <c r="K34" s="293">
        <f t="shared" si="8"/>
        <v>219695.99872080199</v>
      </c>
      <c r="L34" s="324">
        <f t="shared" ref="L34:L42" si="20">+J34-K34</f>
        <v>1579.2838551354071</v>
      </c>
      <c r="M34" s="324"/>
      <c r="N34" s="325">
        <v>0</v>
      </c>
      <c r="O34" s="325">
        <v>0</v>
      </c>
      <c r="P34" s="325">
        <f t="shared" ref="P34:P42" si="21">+N34-O34</f>
        <v>0</v>
      </c>
      <c r="Q34" s="324">
        <f t="shared" ca="1" si="9"/>
        <v>1946.8259013609654</v>
      </c>
      <c r="R34" s="294">
        <f t="shared" ref="R34:R42" ca="1" si="22">I34+L34+P34+Q34</f>
        <v>4868.3606008032966</v>
      </c>
      <c r="S34" s="294"/>
      <c r="T34" s="296">
        <f t="shared" ref="T34:T42" ca="1" si="23">+G34+R34</f>
        <v>221609.92065837808</v>
      </c>
      <c r="U34" s="7"/>
      <c r="V34" s="360">
        <f t="shared" ref="V34:V45" ca="1" si="24">+I34+L34+P34</f>
        <v>2921.5346994423307</v>
      </c>
      <c r="W34" s="291" t="str">
        <f t="shared" si="18"/>
        <v>P.017</v>
      </c>
      <c r="AB34" s="365"/>
    </row>
    <row r="35" spans="1:28">
      <c r="A35" s="407" t="s">
        <v>259</v>
      </c>
      <c r="B35" s="290" t="s">
        <v>112</v>
      </c>
      <c r="C35" s="303" t="str">
        <f t="shared" ca="1" si="0"/>
        <v>Darlington-Red Rock 138 kV line</v>
      </c>
      <c r="D35" s="292">
        <f t="shared" ca="1" si="0"/>
        <v>2014</v>
      </c>
      <c r="E35" s="452">
        <f t="shared" ca="1" si="0"/>
        <v>215061.09551654221</v>
      </c>
      <c r="F35" s="453">
        <f t="shared" ca="1" si="0"/>
        <v>0</v>
      </c>
      <c r="G35" s="453">
        <f t="shared" ca="1" si="19"/>
        <v>215061.09551654221</v>
      </c>
      <c r="H35" s="454"/>
      <c r="I35" s="324">
        <f t="shared" ca="1" si="7"/>
        <v>4037.8043721883732</v>
      </c>
      <c r="J35" s="458">
        <v>231623.84366798078</v>
      </c>
      <c r="K35" s="293">
        <f t="shared" si="8"/>
        <v>229970.70016044186</v>
      </c>
      <c r="L35" s="452">
        <f t="shared" si="20"/>
        <v>1653.1435075389163</v>
      </c>
      <c r="M35" s="452"/>
      <c r="N35" s="453">
        <v>0</v>
      </c>
      <c r="O35" s="453">
        <v>0</v>
      </c>
      <c r="P35" s="453">
        <f t="shared" si="21"/>
        <v>0</v>
      </c>
      <c r="Q35" s="452">
        <f t="shared" ca="1" si="9"/>
        <v>3792.2824389740072</v>
      </c>
      <c r="R35" s="442">
        <f t="shared" ca="1" si="22"/>
        <v>9483.2303187012967</v>
      </c>
      <c r="S35" s="442"/>
      <c r="T35" s="444">
        <f t="shared" ca="1" si="23"/>
        <v>224544.32583524351</v>
      </c>
      <c r="U35" s="7"/>
      <c r="V35" s="456">
        <f t="shared" ca="1" si="24"/>
        <v>5690.9478797272895</v>
      </c>
      <c r="W35" s="291" t="str">
        <f t="shared" si="18"/>
        <v>P.018</v>
      </c>
      <c r="AB35" s="365"/>
    </row>
    <row r="36" spans="1:28">
      <c r="A36" s="407" t="s">
        <v>266</v>
      </c>
      <c r="B36" s="290" t="s">
        <v>112</v>
      </c>
      <c r="C36" s="303" t="str">
        <f t="shared" ca="1" si="0"/>
        <v>Valliant-NW Texarkana 345 kV</v>
      </c>
      <c r="D36" s="292">
        <f t="shared" ca="1" si="0"/>
        <v>2017</v>
      </c>
      <c r="E36" s="452">
        <f t="shared" ca="1" si="0"/>
        <v>175351.45606998727</v>
      </c>
      <c r="F36" s="453">
        <f t="shared" ca="1" si="0"/>
        <v>0</v>
      </c>
      <c r="G36" s="453">
        <f t="shared" ca="1" si="19"/>
        <v>175351.45606998727</v>
      </c>
      <c r="H36" s="454"/>
      <c r="I36" s="324">
        <f t="shared" ca="1" si="7"/>
        <v>-268.93837701786833</v>
      </c>
      <c r="J36" s="458">
        <v>105641.6474528401</v>
      </c>
      <c r="K36" s="293">
        <f t="shared" ref="K36:K41" si="25">J36/J$47*K$47</f>
        <v>104887.66288524648</v>
      </c>
      <c r="L36" s="452">
        <f t="shared" si="20"/>
        <v>753.98456759362307</v>
      </c>
      <c r="M36" s="452"/>
      <c r="N36" s="453">
        <v>0</v>
      </c>
      <c r="O36" s="453">
        <v>0</v>
      </c>
      <c r="P36" s="453">
        <f t="shared" si="21"/>
        <v>0</v>
      </c>
      <c r="Q36" s="452">
        <f t="shared" ca="1" si="9"/>
        <v>323.22069881613817</v>
      </c>
      <c r="R36" s="442">
        <f t="shared" ca="1" si="22"/>
        <v>808.26688939189285</v>
      </c>
      <c r="S36" s="442"/>
      <c r="T36" s="444">
        <f t="shared" ca="1" si="23"/>
        <v>176159.72295937917</v>
      </c>
      <c r="U36" s="7"/>
      <c r="V36" s="456">
        <f t="shared" ca="1" si="24"/>
        <v>485.04619057575474</v>
      </c>
      <c r="W36" s="291" t="str">
        <f t="shared" si="18"/>
        <v>P.019</v>
      </c>
      <c r="AB36" s="365"/>
    </row>
    <row r="37" spans="1:28">
      <c r="A37" s="407" t="s">
        <v>267</v>
      </c>
      <c r="B37" s="290" t="s">
        <v>112</v>
      </c>
      <c r="C37" s="303" t="str">
        <f t="shared" ca="1" si="0"/>
        <v>Sayre 138 kV Capacitor Bank Addition</v>
      </c>
      <c r="D37" s="292">
        <f t="shared" ca="1" si="0"/>
        <v>2017</v>
      </c>
      <c r="E37" s="324">
        <f t="shared" ca="1" si="0"/>
        <v>153018.85490841107</v>
      </c>
      <c r="F37" s="325">
        <f t="shared" ca="1" si="0"/>
        <v>0</v>
      </c>
      <c r="G37" s="325">
        <f t="shared" ca="1" si="19"/>
        <v>153018.85490841107</v>
      </c>
      <c r="H37" s="326"/>
      <c r="I37" s="324">
        <f t="shared" ca="1" si="7"/>
        <v>41572.489145955944</v>
      </c>
      <c r="J37" s="458">
        <v>30733.448112177342</v>
      </c>
      <c r="K37" s="293">
        <f t="shared" si="25"/>
        <v>30514.097636827497</v>
      </c>
      <c r="L37" s="452">
        <f t="shared" si="20"/>
        <v>219.35047534984551</v>
      </c>
      <c r="M37" s="452"/>
      <c r="N37" s="453">
        <v>0</v>
      </c>
      <c r="O37" s="453">
        <v>0</v>
      </c>
      <c r="P37" s="453">
        <f t="shared" si="21"/>
        <v>0</v>
      </c>
      <c r="Q37" s="452">
        <f t="shared" ca="1" si="9"/>
        <v>27848.868560695857</v>
      </c>
      <c r="R37" s="442">
        <f t="shared" ca="1" si="22"/>
        <v>69640.708182001646</v>
      </c>
      <c r="S37" s="442"/>
      <c r="T37" s="444">
        <f t="shared" ca="1" si="23"/>
        <v>222659.5630904127</v>
      </c>
      <c r="U37" s="7"/>
      <c r="V37" s="456">
        <f t="shared" ca="1" si="24"/>
        <v>41791.839621305786</v>
      </c>
      <c r="W37" s="291" t="str">
        <f t="shared" si="18"/>
        <v>P.020</v>
      </c>
      <c r="AB37" s="365"/>
    </row>
    <row r="38" spans="1:28">
      <c r="A38" s="407" t="s">
        <v>268</v>
      </c>
      <c r="B38" s="290" t="s">
        <v>112</v>
      </c>
      <c r="C38" s="303" t="str">
        <f t="shared" ca="1" si="0"/>
        <v>Darlington-Roman Nose 138 kV</v>
      </c>
      <c r="D38" s="292">
        <f t="shared" ca="1" si="0"/>
        <v>2017</v>
      </c>
      <c r="E38" s="324">
        <f t="shared" ca="1" si="0"/>
        <v>34470.293545069071</v>
      </c>
      <c r="F38" s="325">
        <f t="shared" ca="1" si="0"/>
        <v>0</v>
      </c>
      <c r="G38" s="325">
        <f t="shared" ca="1" si="19"/>
        <v>34470.293545069071</v>
      </c>
      <c r="H38" s="326"/>
      <c r="I38" s="324">
        <f t="shared" ca="1" si="7"/>
        <v>5013.0847066057213</v>
      </c>
      <c r="J38" s="458">
        <v>19337.763747649027</v>
      </c>
      <c r="K38" s="293">
        <f t="shared" si="25"/>
        <v>19199.746443024847</v>
      </c>
      <c r="L38" s="452">
        <f t="shared" si="20"/>
        <v>138.01730462417981</v>
      </c>
      <c r="M38" s="452"/>
      <c r="N38" s="453">
        <v>0</v>
      </c>
      <c r="O38" s="453">
        <v>0</v>
      </c>
      <c r="P38" s="453">
        <f t="shared" si="21"/>
        <v>0</v>
      </c>
      <c r="Q38" s="452">
        <f t="shared" ca="1" si="9"/>
        <v>3432.544825816773</v>
      </c>
      <c r="R38" s="442">
        <f t="shared" ca="1" si="22"/>
        <v>8583.6468370466737</v>
      </c>
      <c r="S38" s="442"/>
      <c r="T38" s="444">
        <f t="shared" ca="1" si="23"/>
        <v>43053.940382115747</v>
      </c>
      <c r="U38" s="7"/>
      <c r="V38" s="456">
        <f t="shared" ca="1" si="24"/>
        <v>5151.1020112299011</v>
      </c>
      <c r="W38" s="291" t="str">
        <f t="shared" si="18"/>
        <v>P.021</v>
      </c>
      <c r="AB38" s="365"/>
    </row>
    <row r="39" spans="1:28">
      <c r="A39" s="407" t="s">
        <v>269</v>
      </c>
      <c r="B39" s="290" t="s">
        <v>112</v>
      </c>
      <c r="C39" s="303" t="str">
        <f t="shared" ca="1" si="0"/>
        <v>Northeastern Station 138 kV Terminal Upgrades</v>
      </c>
      <c r="D39" s="292">
        <f t="shared" ca="1" si="0"/>
        <v>2018</v>
      </c>
      <c r="E39" s="324">
        <f t="shared" ca="1" si="0"/>
        <v>32700.951777404996</v>
      </c>
      <c r="F39" s="325">
        <f t="shared" ca="1" si="0"/>
        <v>0</v>
      </c>
      <c r="G39" s="325">
        <f t="shared" ca="1" si="19"/>
        <v>32700.951777404996</v>
      </c>
      <c r="H39" s="326"/>
      <c r="I39" s="324">
        <f t="shared" ca="1" si="7"/>
        <v>0</v>
      </c>
      <c r="J39" s="458">
        <v>0</v>
      </c>
      <c r="K39" s="491">
        <f t="shared" si="25"/>
        <v>0</v>
      </c>
      <c r="L39" s="452">
        <f t="shared" si="20"/>
        <v>0</v>
      </c>
      <c r="M39" s="452"/>
      <c r="N39" s="453">
        <v>0</v>
      </c>
      <c r="O39" s="453">
        <v>0</v>
      </c>
      <c r="P39" s="453">
        <f t="shared" si="21"/>
        <v>0</v>
      </c>
      <c r="Q39" s="452">
        <f t="shared" ca="1" si="9"/>
        <v>0</v>
      </c>
      <c r="R39" s="442">
        <f t="shared" ca="1" si="22"/>
        <v>0</v>
      </c>
      <c r="S39" s="442"/>
      <c r="T39" s="444">
        <f t="shared" ca="1" si="23"/>
        <v>32700.951777404996</v>
      </c>
      <c r="U39" s="7"/>
      <c r="V39" s="456">
        <f t="shared" ref="V39:V44" ca="1" si="26">+I39+L39+P39</f>
        <v>0</v>
      </c>
      <c r="W39" s="291" t="str">
        <f t="shared" ref="W39:W44" si="27">A39</f>
        <v>P.022</v>
      </c>
      <c r="AB39" s="365"/>
    </row>
    <row r="40" spans="1:28">
      <c r="A40" s="407" t="s">
        <v>291</v>
      </c>
      <c r="B40" s="290" t="s">
        <v>112</v>
      </c>
      <c r="C40" s="303" t="str">
        <f t="shared" ca="1" si="0"/>
        <v>Elk City 138 KV Move Load</v>
      </c>
      <c r="D40" s="292">
        <f t="shared" ca="1" si="0"/>
        <v>2018</v>
      </c>
      <c r="E40" s="324">
        <f t="shared" ca="1" si="0"/>
        <v>273320.66219595348</v>
      </c>
      <c r="F40" s="325">
        <f t="shared" ca="1" si="0"/>
        <v>0</v>
      </c>
      <c r="G40" s="325">
        <f t="shared" ca="1" si="19"/>
        <v>273320.66219595348</v>
      </c>
      <c r="H40" s="326"/>
      <c r="I40" s="324">
        <f t="shared" ca="1" si="7"/>
        <v>0</v>
      </c>
      <c r="J40" s="458">
        <v>0</v>
      </c>
      <c r="K40" s="491">
        <f t="shared" si="25"/>
        <v>0</v>
      </c>
      <c r="L40" s="452">
        <f t="shared" si="20"/>
        <v>0</v>
      </c>
      <c r="M40" s="452"/>
      <c r="N40" s="453">
        <v>0</v>
      </c>
      <c r="O40" s="453">
        <v>0</v>
      </c>
      <c r="P40" s="453">
        <f t="shared" si="21"/>
        <v>0</v>
      </c>
      <c r="Q40" s="452">
        <f t="shared" ca="1" si="9"/>
        <v>0</v>
      </c>
      <c r="R40" s="442">
        <f t="shared" ca="1" si="22"/>
        <v>0</v>
      </c>
      <c r="S40" s="442"/>
      <c r="T40" s="444">
        <f t="shared" ca="1" si="23"/>
        <v>273320.66219595348</v>
      </c>
      <c r="U40" s="7"/>
      <c r="V40" s="456">
        <f t="shared" ca="1" si="26"/>
        <v>0</v>
      </c>
      <c r="W40" s="291" t="str">
        <f t="shared" si="27"/>
        <v>P.023</v>
      </c>
      <c r="AB40" s="365"/>
    </row>
    <row r="41" spans="1:28">
      <c r="A41" s="407" t="s">
        <v>292</v>
      </c>
      <c r="B41" s="290" t="s">
        <v>112</v>
      </c>
      <c r="C41" s="303" t="str">
        <f t="shared" ca="1" si="0"/>
        <v>Fort Townson-Valliant Line Rebuild</v>
      </c>
      <c r="D41" s="292">
        <f t="shared" ca="1" si="0"/>
        <v>2019</v>
      </c>
      <c r="E41" s="324">
        <f t="shared" ca="1" si="0"/>
        <v>73419.565193351213</v>
      </c>
      <c r="F41" s="325">
        <f t="shared" ca="1" si="0"/>
        <v>0</v>
      </c>
      <c r="G41" s="325">
        <f t="shared" ca="1" si="19"/>
        <v>73419.565193351213</v>
      </c>
      <c r="H41" s="326"/>
      <c r="I41" s="324">
        <f t="shared" ca="1" si="7"/>
        <v>0</v>
      </c>
      <c r="J41" s="458">
        <v>0</v>
      </c>
      <c r="K41" s="491">
        <f t="shared" si="25"/>
        <v>0</v>
      </c>
      <c r="L41" s="452">
        <f t="shared" si="20"/>
        <v>0</v>
      </c>
      <c r="M41" s="452"/>
      <c r="N41" s="453">
        <v>0</v>
      </c>
      <c r="O41" s="453">
        <v>0</v>
      </c>
      <c r="P41" s="453">
        <f t="shared" si="21"/>
        <v>0</v>
      </c>
      <c r="Q41" s="452">
        <f t="shared" ca="1" si="9"/>
        <v>0</v>
      </c>
      <c r="R41" s="442">
        <f t="shared" ca="1" si="22"/>
        <v>0</v>
      </c>
      <c r="S41" s="442"/>
      <c r="T41" s="444">
        <f t="shared" ca="1" si="23"/>
        <v>73419.565193351213</v>
      </c>
      <c r="U41" s="7"/>
      <c r="V41" s="456">
        <f t="shared" ca="1" si="26"/>
        <v>0</v>
      </c>
      <c r="W41" s="291" t="str">
        <f t="shared" si="27"/>
        <v>P.024</v>
      </c>
      <c r="AB41" s="365"/>
    </row>
    <row r="42" spans="1:28" ht="25.5">
      <c r="A42" s="407" t="s">
        <v>293</v>
      </c>
      <c r="B42" s="290" t="s">
        <v>112</v>
      </c>
      <c r="C42" s="303" t="str">
        <f t="shared" ca="1" si="0"/>
        <v>Duncan-Comanche Tap 69 KV Rebuild and Duncan station upgrades</v>
      </c>
      <c r="D42" s="292">
        <f t="shared" ca="1" si="0"/>
        <v>2018</v>
      </c>
      <c r="E42" s="324">
        <f t="shared" ca="1" si="0"/>
        <v>162968.67771034624</v>
      </c>
      <c r="F42" s="325">
        <f t="shared" ca="1" si="0"/>
        <v>0</v>
      </c>
      <c r="G42" s="325">
        <f t="shared" ca="1" si="19"/>
        <v>162968.67771034624</v>
      </c>
      <c r="H42" s="326"/>
      <c r="I42" s="324">
        <f t="shared" ca="1" si="7"/>
        <v>0</v>
      </c>
      <c r="J42" s="458"/>
      <c r="K42" s="491"/>
      <c r="L42" s="452">
        <f t="shared" si="20"/>
        <v>0</v>
      </c>
      <c r="M42" s="452"/>
      <c r="N42" s="453">
        <v>0</v>
      </c>
      <c r="O42" s="453">
        <v>0</v>
      </c>
      <c r="P42" s="453">
        <f t="shared" si="21"/>
        <v>0</v>
      </c>
      <c r="Q42" s="452">
        <f t="shared" ca="1" si="9"/>
        <v>0</v>
      </c>
      <c r="R42" s="442">
        <f t="shared" ca="1" si="22"/>
        <v>0</v>
      </c>
      <c r="S42" s="442"/>
      <c r="T42" s="444">
        <f t="shared" ca="1" si="23"/>
        <v>162968.67771034624</v>
      </c>
      <c r="U42" s="7"/>
      <c r="V42" s="456">
        <f t="shared" ca="1" si="26"/>
        <v>0</v>
      </c>
      <c r="W42" s="291" t="str">
        <f t="shared" si="27"/>
        <v>P.025</v>
      </c>
      <c r="AB42" s="365"/>
    </row>
    <row r="43" spans="1:28">
      <c r="A43" s="407" t="s">
        <v>342</v>
      </c>
      <c r="B43" s="290" t="s">
        <v>112</v>
      </c>
      <c r="C43" s="303" t="str">
        <f t="shared" ca="1" si="0"/>
        <v>Tulsa Southeast - E. 61st St 138 kV Rebuild</v>
      </c>
      <c r="D43" s="292">
        <f t="shared" ca="1" si="0"/>
        <v>2019</v>
      </c>
      <c r="E43" s="324">
        <f t="shared" ca="1" si="0"/>
        <v>280481.45781944925</v>
      </c>
      <c r="F43" s="325">
        <f t="shared" ca="1" si="0"/>
        <v>0</v>
      </c>
      <c r="G43" s="325">
        <f ca="1">+E43+F43</f>
        <v>280481.45781944925</v>
      </c>
      <c r="H43" s="326"/>
      <c r="I43" s="324">
        <f t="shared" ca="1" si="7"/>
        <v>0</v>
      </c>
      <c r="J43" s="458"/>
      <c r="K43" s="491"/>
      <c r="L43" s="452">
        <f>+J43-K43</f>
        <v>0</v>
      </c>
      <c r="M43" s="452"/>
      <c r="N43" s="453">
        <v>0</v>
      </c>
      <c r="O43" s="453">
        <v>0</v>
      </c>
      <c r="P43" s="453">
        <f>+N43-O43</f>
        <v>0</v>
      </c>
      <c r="Q43" s="452">
        <f t="shared" ca="1" si="9"/>
        <v>0</v>
      </c>
      <c r="R43" s="442">
        <f ca="1">I43+L43+P43+Q43</f>
        <v>0</v>
      </c>
      <c r="S43" s="442"/>
      <c r="T43" s="444">
        <f ca="1">+G43+R43</f>
        <v>280481.45781944925</v>
      </c>
      <c r="U43" s="7"/>
      <c r="V43" s="456">
        <f t="shared" ca="1" si="26"/>
        <v>0</v>
      </c>
      <c r="W43" s="291" t="str">
        <f t="shared" si="27"/>
        <v>P.026</v>
      </c>
      <c r="AB43" s="365"/>
    </row>
    <row r="44" spans="1:28">
      <c r="A44" s="407" t="s">
        <v>343</v>
      </c>
      <c r="B44" s="290" t="s">
        <v>112</v>
      </c>
      <c r="C44" s="303" t="str">
        <f t="shared" ca="1" si="0"/>
        <v>Broken Arrow North-Lynn Lane East 138 kV</v>
      </c>
      <c r="D44" s="292">
        <f t="shared" ca="1" si="0"/>
        <v>2019</v>
      </c>
      <c r="E44" s="324">
        <f t="shared" ca="1" si="0"/>
        <v>230012.66047295602</v>
      </c>
      <c r="F44" s="325">
        <f t="shared" ca="1" si="0"/>
        <v>0</v>
      </c>
      <c r="G44" s="325">
        <f ca="1">+E44+F44</f>
        <v>230012.66047295602</v>
      </c>
      <c r="H44" s="326"/>
      <c r="I44" s="324">
        <f t="shared" ca="1" si="7"/>
        <v>0</v>
      </c>
      <c r="J44" s="458"/>
      <c r="K44" s="491"/>
      <c r="L44" s="452">
        <f>+J44-K44</f>
        <v>0</v>
      </c>
      <c r="M44" s="452"/>
      <c r="N44" s="453">
        <v>0</v>
      </c>
      <c r="O44" s="453">
        <v>0</v>
      </c>
      <c r="P44" s="453">
        <f>+N44-O44</f>
        <v>0</v>
      </c>
      <c r="Q44" s="452">
        <f t="shared" ca="1" si="9"/>
        <v>0</v>
      </c>
      <c r="R44" s="442">
        <f ca="1">I44+L44+P44+Q44</f>
        <v>0</v>
      </c>
      <c r="S44" s="442"/>
      <c r="T44" s="444">
        <f ca="1">+G44+R44</f>
        <v>230012.66047295602</v>
      </c>
      <c r="U44" s="7"/>
      <c r="V44" s="456">
        <f t="shared" ca="1" si="26"/>
        <v>0</v>
      </c>
      <c r="W44" s="291" t="str">
        <f t="shared" si="27"/>
        <v>P.027</v>
      </c>
      <c r="AB44" s="365"/>
    </row>
    <row r="45" spans="1:28">
      <c r="A45" s="407"/>
      <c r="B45" s="290"/>
      <c r="C45" s="303"/>
      <c r="D45" s="292"/>
      <c r="E45" s="452"/>
      <c r="F45" s="453"/>
      <c r="G45" s="453"/>
      <c r="H45" s="454"/>
      <c r="I45" s="452"/>
      <c r="J45" s="458"/>
      <c r="K45" s="455"/>
      <c r="L45" s="452"/>
      <c r="M45" s="452"/>
      <c r="N45" s="453"/>
      <c r="O45" s="453"/>
      <c r="P45" s="453"/>
      <c r="Q45" s="452"/>
      <c r="R45" s="442"/>
      <c r="S45" s="442"/>
      <c r="T45" s="444"/>
      <c r="U45" s="7"/>
      <c r="V45" s="456">
        <f t="shared" si="24"/>
        <v>0</v>
      </c>
      <c r="W45" s="291">
        <f t="shared" si="18"/>
        <v>0</v>
      </c>
      <c r="AB45" s="365"/>
    </row>
    <row r="46" spans="1:28">
      <c r="A46" s="291"/>
      <c r="B46" s="291"/>
      <c r="C46" s="291"/>
      <c r="D46" s="290"/>
      <c r="E46" s="442"/>
      <c r="F46" s="442"/>
      <c r="G46" s="442"/>
      <c r="H46" s="294"/>
      <c r="I46" s="442"/>
      <c r="J46" s="442"/>
      <c r="K46" s="443"/>
      <c r="L46" s="442"/>
      <c r="M46" s="442"/>
      <c r="N46" s="442"/>
      <c r="O46" s="442"/>
      <c r="P46" s="442"/>
      <c r="Q46" s="442"/>
      <c r="R46" s="442"/>
      <c r="S46" s="294"/>
      <c r="T46" s="444"/>
      <c r="V46" s="331"/>
      <c r="AB46" s="365"/>
    </row>
    <row r="47" spans="1:28">
      <c r="A47" s="291"/>
      <c r="B47" s="291"/>
      <c r="C47" s="327" t="s">
        <v>171</v>
      </c>
      <c r="D47" s="290"/>
      <c r="E47" s="294">
        <f t="shared" ref="E47:J47" ca="1" si="28">SUM(E18:E45)</f>
        <v>7284760.4319926891</v>
      </c>
      <c r="F47" s="294">
        <f t="shared" ca="1" si="28"/>
        <v>0</v>
      </c>
      <c r="G47" s="294">
        <f t="shared" ca="1" si="28"/>
        <v>7284760.4319926891</v>
      </c>
      <c r="H47" s="294">
        <f t="shared" si="28"/>
        <v>0</v>
      </c>
      <c r="I47" s="294">
        <f t="shared" ca="1" si="28"/>
        <v>84141.93878736459</v>
      </c>
      <c r="J47" s="294">
        <f t="shared" si="28"/>
        <v>6426650.2272522626</v>
      </c>
      <c r="K47" s="490">
        <v>6380782</v>
      </c>
      <c r="L47" s="294">
        <f>SUM(L18:L45)</f>
        <v>45868.227252262761</v>
      </c>
      <c r="M47" s="294">
        <f>SUM(M18:M45)</f>
        <v>0</v>
      </c>
      <c r="N47" s="294">
        <f>SUM(N18:N45)</f>
        <v>0</v>
      </c>
      <c r="O47" s="294">
        <f>SUM(O18:O45)</f>
        <v>0</v>
      </c>
      <c r="P47" s="294">
        <f>SUM(P18:P45)</f>
        <v>0</v>
      </c>
      <c r="Q47" s="459">
        <v>86635</v>
      </c>
      <c r="R47" s="294">
        <f ca="1">SUM(R18:R45)</f>
        <v>216645.16603962734</v>
      </c>
      <c r="S47" s="294">
        <f>SUM(S18:S45)</f>
        <v>0</v>
      </c>
      <c r="T47" s="296">
        <f ca="1">SUM(T18:T45)</f>
        <v>7501405.5980323181</v>
      </c>
      <c r="V47" s="296">
        <f ca="1">SUM(V18:V45)</f>
        <v>130010.16603962737</v>
      </c>
      <c r="W47" s="236" t="s">
        <v>261</v>
      </c>
      <c r="AB47" s="294">
        <f t="shared" ref="AB47" si="29">SUM(AB18:AB45)</f>
        <v>0</v>
      </c>
    </row>
    <row r="48" spans="1:28" ht="13.5" thickBot="1">
      <c r="A48" s="291"/>
      <c r="B48" s="291"/>
      <c r="C48" s="297"/>
      <c r="D48" s="291"/>
      <c r="E48" s="304" t="str">
        <f ca="1">IF(E47=PSO.WS.F.BPU.ATRR.Projected!M19,"","Error")</f>
        <v/>
      </c>
      <c r="F48" s="322" t="str">
        <f ca="1">IF(F47=PSO.WS.F.BPU.ATRR.Projected!O19,"","Error")</f>
        <v/>
      </c>
      <c r="G48" s="322" t="str">
        <f ca="1">IF(G47=PSO.WS.F.BPU.ATRR.Projected!N19,"","Error")</f>
        <v/>
      </c>
      <c r="H48" s="291"/>
      <c r="I48" s="353"/>
      <c r="J48" s="354"/>
      <c r="L48" s="298"/>
      <c r="M48" s="298"/>
      <c r="N48" s="298"/>
      <c r="O48" s="298"/>
      <c r="P48" s="298"/>
      <c r="Q48" s="383" t="str">
        <f ca="1">IF(Q47=SUM(Q18:Q45),"","Error -- check allocations above).")</f>
        <v/>
      </c>
      <c r="R48" s="294"/>
      <c r="S48" s="294"/>
      <c r="T48" s="294"/>
      <c r="V48" s="349"/>
      <c r="W48" s="236"/>
      <c r="AB48" s="365"/>
    </row>
    <row r="49" spans="1:28">
      <c r="A49" s="291"/>
      <c r="B49" s="291"/>
      <c r="C49" s="299" t="s">
        <v>208</v>
      </c>
      <c r="D49" s="291"/>
      <c r="E49" s="294"/>
      <c r="F49" s="294"/>
      <c r="G49" s="294"/>
      <c r="H49" s="291"/>
      <c r="I49" s="355"/>
      <c r="J49" s="355"/>
      <c r="K49" s="291"/>
      <c r="L49" s="291"/>
      <c r="M49" s="291"/>
      <c r="N49" s="298"/>
      <c r="O49" s="298"/>
      <c r="P49" s="298"/>
      <c r="Q49" s="298"/>
      <c r="R49" s="294"/>
      <c r="S49" s="294"/>
      <c r="T49" s="294"/>
      <c r="AB49" s="365"/>
    </row>
    <row r="50" spans="1:28">
      <c r="A50" s="291"/>
      <c r="B50" s="291"/>
      <c r="C50" s="299"/>
      <c r="D50" s="291"/>
      <c r="E50" s="294"/>
      <c r="F50" s="294"/>
      <c r="G50" s="294"/>
      <c r="H50" s="291"/>
      <c r="I50" s="365"/>
      <c r="J50" s="300"/>
      <c r="K50" s="293"/>
      <c r="L50" s="291"/>
      <c r="M50" s="291"/>
      <c r="N50" s="298"/>
      <c r="O50" s="298"/>
      <c r="P50" s="298"/>
      <c r="Q50" s="298"/>
      <c r="R50" s="298"/>
      <c r="S50" s="291"/>
      <c r="T50" s="291"/>
    </row>
    <row r="51" spans="1:28">
      <c r="E51" s="10"/>
      <c r="F51" s="10"/>
      <c r="G51" s="10"/>
      <c r="I51" s="10"/>
      <c r="J51" s="347"/>
      <c r="N51" s="283"/>
      <c r="O51" s="283"/>
      <c r="P51" s="283"/>
      <c r="Q51" s="457"/>
      <c r="R51" s="283"/>
    </row>
    <row r="52" spans="1:28">
      <c r="E52" s="10"/>
      <c r="F52" s="10"/>
      <c r="G52" s="10"/>
    </row>
    <row r="53" spans="1:28">
      <c r="A53" s="306" t="s">
        <v>182</v>
      </c>
      <c r="B53" s="307"/>
      <c r="C53" s="307"/>
      <c r="D53" s="307"/>
      <c r="E53" s="308"/>
      <c r="F53" s="308"/>
      <c r="G53" s="308"/>
      <c r="H53" s="307"/>
      <c r="I53" s="307"/>
      <c r="J53" s="307"/>
      <c r="K53" s="307"/>
      <c r="L53" s="307"/>
      <c r="M53" s="307"/>
      <c r="N53" s="307"/>
      <c r="O53" s="234"/>
      <c r="V53" t="s">
        <v>193</v>
      </c>
    </row>
    <row r="54" spans="1:28" ht="15.75">
      <c r="A54" s="309" t="s">
        <v>185</v>
      </c>
      <c r="B54" s="7"/>
      <c r="C54" s="310" t="str">
        <f ca="1">RIGHT(CELL("address",P.001!D7),4)</f>
        <v>$D$7</v>
      </c>
      <c r="D54" s="310" t="str">
        <f ca="1">RIGHT(CELL("address",P.001!D11),4)</f>
        <v>D$11</v>
      </c>
      <c r="E54" s="310" t="str">
        <f ca="1">RIGHT(CELL("address",P.001!N5),4)</f>
        <v>$N$5</v>
      </c>
      <c r="F54" s="310" t="str">
        <f ca="1">RIGHT(CELL("address",P.001!N7),4)</f>
        <v>$N$7</v>
      </c>
      <c r="G54" s="7"/>
      <c r="H54" s="311"/>
      <c r="I54" s="310" t="str">
        <f ca="1">RIGHT(CELL("address",P.001!M89),4)</f>
        <v>M$89</v>
      </c>
      <c r="J54" s="310"/>
      <c r="K54" s="7"/>
      <c r="L54" s="7"/>
      <c r="M54" s="7"/>
      <c r="N54" s="310" t="str">
        <f ca="1">RIGHT(CELL("address",P.001!N87),4)</f>
        <v>N$87</v>
      </c>
      <c r="O54" s="312" t="str">
        <f ca="1">RIGHT(CELL("address",P.001!N88),4)</f>
        <v>N$88</v>
      </c>
      <c r="P54" s="49" t="s">
        <v>184</v>
      </c>
      <c r="V54" t="s">
        <v>194</v>
      </c>
    </row>
    <row r="55" spans="1:28">
      <c r="A55" s="313" t="s">
        <v>186</v>
      </c>
      <c r="B55" s="314"/>
      <c r="C55" s="314"/>
      <c r="D55" s="314"/>
      <c r="E55" s="282"/>
      <c r="F55" s="282"/>
      <c r="G55" s="282"/>
      <c r="H55" s="314"/>
      <c r="I55" s="314"/>
      <c r="J55" s="314"/>
      <c r="K55" s="314"/>
      <c r="L55" s="314"/>
      <c r="M55" s="314"/>
      <c r="N55" s="314"/>
      <c r="O55" s="315"/>
      <c r="V55" t="s">
        <v>195</v>
      </c>
    </row>
    <row r="56" spans="1:28">
      <c r="E56" s="10"/>
      <c r="F56" s="10"/>
      <c r="G56" s="10"/>
      <c r="V56" t="s">
        <v>196</v>
      </c>
    </row>
    <row r="57" spans="1:28">
      <c r="A57" s="1" t="s">
        <v>234</v>
      </c>
      <c r="B57" s="1" t="s">
        <v>235</v>
      </c>
      <c r="E57" s="10"/>
      <c r="F57" s="10"/>
      <c r="G57" s="10"/>
      <c r="V57" s="232" t="s">
        <v>215</v>
      </c>
    </row>
    <row r="58" spans="1:28">
      <c r="B58" s="1" t="s">
        <v>238</v>
      </c>
      <c r="E58" s="10"/>
      <c r="F58" s="10"/>
      <c r="G58" s="10"/>
    </row>
    <row r="59" spans="1:28">
      <c r="B59" s="1" t="s">
        <v>239</v>
      </c>
      <c r="E59" s="10"/>
      <c r="F59" s="10"/>
      <c r="G59" s="10"/>
    </row>
    <row r="60" spans="1:28">
      <c r="B60" s="1" t="s">
        <v>236</v>
      </c>
      <c r="E60" s="10"/>
      <c r="F60" s="10"/>
      <c r="G60" s="10"/>
    </row>
    <row r="61" spans="1:28">
      <c r="B61" s="1" t="s">
        <v>237</v>
      </c>
      <c r="E61" s="10"/>
      <c r="F61" s="10"/>
      <c r="G61" s="10"/>
      <c r="K61" s="348"/>
    </row>
    <row r="62" spans="1:28">
      <c r="B62" s="1" t="s">
        <v>240</v>
      </c>
      <c r="E62" s="10"/>
      <c r="F62" s="10"/>
      <c r="G62" s="10"/>
    </row>
    <row r="63" spans="1:28">
      <c r="E63" s="10"/>
      <c r="F63" s="10"/>
      <c r="G63" s="10"/>
    </row>
    <row r="64" spans="1:28">
      <c r="E64" s="10"/>
      <c r="F64" s="10"/>
      <c r="G64" s="10"/>
    </row>
    <row r="65" spans="5:7">
      <c r="E65" s="10"/>
      <c r="F65" s="10"/>
      <c r="G65" s="10"/>
    </row>
    <row r="66" spans="5:7">
      <c r="E66" s="10"/>
      <c r="F66" s="10"/>
      <c r="G66" s="10"/>
    </row>
    <row r="67" spans="5:7">
      <c r="E67" s="10"/>
      <c r="F67" s="10"/>
      <c r="G67" s="10"/>
    </row>
  </sheetData>
  <mergeCells count="2">
    <mergeCell ref="E13:G13"/>
    <mergeCell ref="T14:T16"/>
  </mergeCells>
  <phoneticPr fontId="62" type="noConversion"/>
  <pageMargins left="0.5" right="0.5" top="1" bottom="1" header="0.65" footer="0.5"/>
  <pageSetup scale="52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7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9408.7099366610164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9408.7099366610164</v>
      </c>
      <c r="O6" s="1"/>
      <c r="P6" s="1"/>
    </row>
    <row r="7" spans="1:16" ht="13.5" thickBot="1">
      <c r="C7" s="127" t="s">
        <v>41</v>
      </c>
      <c r="D7" s="343" t="s">
        <v>205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81</v>
      </c>
      <c r="E9" s="428" t="s">
        <v>307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84424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IF(D10=0,0,ROUND(D10/D13,0))</f>
        <v>2111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2007</v>
      </c>
      <c r="D17" s="366">
        <v>84424</v>
      </c>
      <c r="E17" s="367">
        <v>0</v>
      </c>
      <c r="F17" s="366">
        <v>84424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71">
        <v>84424</v>
      </c>
      <c r="E18" s="368">
        <v>1508</v>
      </c>
      <c r="F18" s="371">
        <v>82916</v>
      </c>
      <c r="G18" s="368">
        <v>0</v>
      </c>
      <c r="H18" s="370">
        <v>0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71">
        <v>82916</v>
      </c>
      <c r="E19" s="368">
        <v>1508</v>
      </c>
      <c r="F19" s="371">
        <v>81408</v>
      </c>
      <c r="G19" s="368">
        <v>0</v>
      </c>
      <c r="H19" s="370">
        <v>0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71">
        <v>81408</v>
      </c>
      <c r="E20" s="368">
        <v>1508</v>
      </c>
      <c r="F20" s="371">
        <v>79900</v>
      </c>
      <c r="G20" s="368">
        <v>13037.291488737637</v>
      </c>
      <c r="H20" s="370">
        <v>13037.291488737637</v>
      </c>
      <c r="I20" s="160">
        <v>0</v>
      </c>
      <c r="J20" s="160"/>
      <c r="K20" s="380">
        <f t="shared" ref="K20:K25" si="5">G20</f>
        <v>13037.291488737637</v>
      </c>
      <c r="L20" s="381">
        <f t="shared" si="1"/>
        <v>0</v>
      </c>
      <c r="M20" s="380">
        <f t="shared" ref="M20:M25" si="6">H20</f>
        <v>13037.291488737637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71">
        <v>79900</v>
      </c>
      <c r="E21" s="368">
        <v>1655</v>
      </c>
      <c r="F21" s="371">
        <v>78245</v>
      </c>
      <c r="G21" s="368">
        <v>13903.733792156472</v>
      </c>
      <c r="H21" s="370">
        <v>13903.733792156472</v>
      </c>
      <c r="I21" s="160">
        <f t="shared" si="0"/>
        <v>0</v>
      </c>
      <c r="J21" s="160"/>
      <c r="K21" s="338">
        <f t="shared" si="5"/>
        <v>13903.733792156472</v>
      </c>
      <c r="L21" s="272">
        <f t="shared" si="1"/>
        <v>0</v>
      </c>
      <c r="M21" s="338">
        <f t="shared" si="6"/>
        <v>13903.733792156472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71">
        <v>78245</v>
      </c>
      <c r="E22" s="368">
        <v>1624</v>
      </c>
      <c r="F22" s="371">
        <v>76621</v>
      </c>
      <c r="G22" s="368">
        <v>12290.159159207155</v>
      </c>
      <c r="H22" s="370">
        <v>12290.159159207155</v>
      </c>
      <c r="I22" s="160">
        <f t="shared" si="0"/>
        <v>0</v>
      </c>
      <c r="J22" s="160"/>
      <c r="K22" s="338">
        <f t="shared" si="5"/>
        <v>12290.159159207155</v>
      </c>
      <c r="L22" s="272">
        <f t="shared" si="1"/>
        <v>0</v>
      </c>
      <c r="M22" s="338">
        <f t="shared" si="6"/>
        <v>12290.159159207155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71">
        <v>76621</v>
      </c>
      <c r="E23" s="368">
        <v>1624</v>
      </c>
      <c r="F23" s="371">
        <v>74997</v>
      </c>
      <c r="G23" s="368">
        <v>12334.078606810854</v>
      </c>
      <c r="H23" s="370">
        <v>12334.078606810854</v>
      </c>
      <c r="I23" s="160">
        <v>0</v>
      </c>
      <c r="J23" s="160"/>
      <c r="K23" s="338">
        <f t="shared" si="5"/>
        <v>12334.078606810854</v>
      </c>
      <c r="L23" s="272">
        <f t="shared" ref="L23:L28" si="7">IF(K23&lt;&gt;0,+G23-K23,0)</f>
        <v>0</v>
      </c>
      <c r="M23" s="338">
        <f t="shared" si="6"/>
        <v>12334.078606810854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71">
        <v>74997</v>
      </c>
      <c r="E24" s="368">
        <v>1624</v>
      </c>
      <c r="F24" s="371">
        <v>73373</v>
      </c>
      <c r="G24" s="368">
        <v>11724.436761777028</v>
      </c>
      <c r="H24" s="370">
        <v>11724.436761777028</v>
      </c>
      <c r="I24" s="160">
        <v>0</v>
      </c>
      <c r="J24" s="160"/>
      <c r="K24" s="338">
        <f t="shared" si="5"/>
        <v>11724.436761777028</v>
      </c>
      <c r="L24" s="272">
        <f t="shared" si="7"/>
        <v>0</v>
      </c>
      <c r="M24" s="338">
        <f t="shared" si="6"/>
        <v>11724.436761777028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71">
        <v>73373</v>
      </c>
      <c r="E25" s="368">
        <v>1624</v>
      </c>
      <c r="F25" s="371">
        <v>71749</v>
      </c>
      <c r="G25" s="368">
        <v>11516.153501332747</v>
      </c>
      <c r="H25" s="370">
        <v>11516.153501332747</v>
      </c>
      <c r="I25" s="160">
        <v>0</v>
      </c>
      <c r="J25" s="160"/>
      <c r="K25" s="338">
        <f t="shared" si="5"/>
        <v>11516.153501332747</v>
      </c>
      <c r="L25" s="272">
        <f t="shared" si="7"/>
        <v>0</v>
      </c>
      <c r="M25" s="338">
        <f t="shared" si="6"/>
        <v>11516.153501332747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71">
        <v>71749</v>
      </c>
      <c r="E26" s="368">
        <v>1624</v>
      </c>
      <c r="F26" s="371">
        <v>70125</v>
      </c>
      <c r="G26" s="368">
        <v>10821.569336122064</v>
      </c>
      <c r="H26" s="370">
        <v>10821.569336122064</v>
      </c>
      <c r="I26" s="160">
        <f t="shared" si="0"/>
        <v>0</v>
      </c>
      <c r="J26" s="160"/>
      <c r="K26" s="338">
        <f>G26</f>
        <v>10821.569336122064</v>
      </c>
      <c r="L26" s="272">
        <f t="shared" si="7"/>
        <v>0</v>
      </c>
      <c r="M26" s="338">
        <f>H26</f>
        <v>10821.569336122064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71">
        <v>70125</v>
      </c>
      <c r="E27" s="368">
        <v>1835</v>
      </c>
      <c r="F27" s="371">
        <v>68290</v>
      </c>
      <c r="G27" s="368">
        <v>10525.630109322938</v>
      </c>
      <c r="H27" s="370">
        <v>10525.630109322938</v>
      </c>
      <c r="I27" s="160">
        <v>0</v>
      </c>
      <c r="J27" s="160"/>
      <c r="K27" s="338">
        <f>G27</f>
        <v>10525.630109322938</v>
      </c>
      <c r="L27" s="272">
        <f t="shared" si="7"/>
        <v>0</v>
      </c>
      <c r="M27" s="338">
        <f>H27</f>
        <v>10525.630109322938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71">
        <v>68290</v>
      </c>
      <c r="E28" s="368">
        <v>1876</v>
      </c>
      <c r="F28" s="371">
        <v>66414</v>
      </c>
      <c r="G28" s="368">
        <v>9942.0041745497692</v>
      </c>
      <c r="H28" s="370">
        <v>9942.0041745497692</v>
      </c>
      <c r="I28" s="160">
        <f t="shared" si="0"/>
        <v>0</v>
      </c>
      <c r="J28" s="160"/>
      <c r="K28" s="338">
        <f>G28</f>
        <v>9942.0041745497692</v>
      </c>
      <c r="L28" s="272">
        <f t="shared" si="7"/>
        <v>0</v>
      </c>
      <c r="M28" s="338">
        <f>H28</f>
        <v>9942.0041745497692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163">
        <f>IF(F28+SUM(E$17:E28)=D$10,F28,D$10-SUM(E$17:E28))</f>
        <v>66414</v>
      </c>
      <c r="E29" s="164">
        <f>IF(+I14&lt;F28,I14,D29)</f>
        <v>2111</v>
      </c>
      <c r="F29" s="163">
        <f t="shared" ref="F29:F48" si="10">+D29-E29</f>
        <v>64303</v>
      </c>
      <c r="G29" s="165">
        <f t="shared" ref="G29:G72" si="11">(D29+F29)/2*I$12+E29</f>
        <v>9408.7099366610164</v>
      </c>
      <c r="H29" s="147">
        <f t="shared" ref="H29:H72" si="12">+(D29+F29)/2*I$13+E29</f>
        <v>9408.7099366610164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64303</v>
      </c>
      <c r="E30" s="164">
        <f>IF(+I14&lt;F29,I14,D30)</f>
        <v>2111</v>
      </c>
      <c r="F30" s="163">
        <f t="shared" si="10"/>
        <v>62192</v>
      </c>
      <c r="G30" s="165">
        <f t="shared" si="11"/>
        <v>9173.0027879918853</v>
      </c>
      <c r="H30" s="147">
        <f t="shared" si="12"/>
        <v>9173.0027879918853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62192</v>
      </c>
      <c r="E31" s="164">
        <f>IF(+I14&lt;F30,I14,D31)</f>
        <v>2111</v>
      </c>
      <c r="F31" s="163">
        <f t="shared" si="10"/>
        <v>60081</v>
      </c>
      <c r="G31" s="165">
        <f t="shared" si="11"/>
        <v>8937.2956393227541</v>
      </c>
      <c r="H31" s="147">
        <f t="shared" si="12"/>
        <v>8937.2956393227541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60081</v>
      </c>
      <c r="E32" s="164">
        <f>IF(+I14&lt;F31,I14,D32)</f>
        <v>2111</v>
      </c>
      <c r="F32" s="163">
        <f t="shared" si="10"/>
        <v>57970</v>
      </c>
      <c r="G32" s="165">
        <f t="shared" si="11"/>
        <v>8701.588490653623</v>
      </c>
      <c r="H32" s="147">
        <f t="shared" si="12"/>
        <v>8701.588490653623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57970</v>
      </c>
      <c r="E33" s="164">
        <f>IF(+I14&lt;F32,I14,D33)</f>
        <v>2111</v>
      </c>
      <c r="F33" s="163">
        <f t="shared" si="10"/>
        <v>55859</v>
      </c>
      <c r="G33" s="165">
        <f t="shared" si="11"/>
        <v>8465.8813419844919</v>
      </c>
      <c r="H33" s="147">
        <f t="shared" si="12"/>
        <v>8465.8813419844919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55859</v>
      </c>
      <c r="E34" s="164">
        <f>IF(+I14&lt;F33,I14,D34)</f>
        <v>2111</v>
      </c>
      <c r="F34" s="163">
        <f t="shared" si="10"/>
        <v>53748</v>
      </c>
      <c r="G34" s="165">
        <f t="shared" si="11"/>
        <v>8230.1741933153608</v>
      </c>
      <c r="H34" s="147">
        <f t="shared" si="12"/>
        <v>8230.1741933153608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53748</v>
      </c>
      <c r="E35" s="164">
        <f>IF(+I14&lt;F34,I14,D35)</f>
        <v>2111</v>
      </c>
      <c r="F35" s="163">
        <f t="shared" si="10"/>
        <v>51637</v>
      </c>
      <c r="G35" s="165">
        <f t="shared" si="11"/>
        <v>7994.4670446462305</v>
      </c>
      <c r="H35" s="147">
        <f t="shared" si="12"/>
        <v>7994.4670446462305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51637</v>
      </c>
      <c r="E36" s="164">
        <f>IF(+I14&lt;F35,I14,D36)</f>
        <v>2111</v>
      </c>
      <c r="F36" s="163">
        <f t="shared" si="10"/>
        <v>49526</v>
      </c>
      <c r="G36" s="165">
        <f t="shared" si="11"/>
        <v>7758.7598959770994</v>
      </c>
      <c r="H36" s="147">
        <f t="shared" si="12"/>
        <v>7758.7598959770994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49526</v>
      </c>
      <c r="E37" s="164">
        <f>IF(+I14&lt;F36,I14,D37)</f>
        <v>2111</v>
      </c>
      <c r="F37" s="163">
        <f t="shared" si="10"/>
        <v>47415</v>
      </c>
      <c r="G37" s="165">
        <f t="shared" si="11"/>
        <v>7523.0527473079683</v>
      </c>
      <c r="H37" s="147">
        <f t="shared" si="12"/>
        <v>7523.0527473079683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47415</v>
      </c>
      <c r="E38" s="164">
        <f>IF(+I14&lt;F37,I14,D38)</f>
        <v>2111</v>
      </c>
      <c r="F38" s="163">
        <f t="shared" si="10"/>
        <v>45304</v>
      </c>
      <c r="G38" s="165">
        <f t="shared" si="11"/>
        <v>7287.3455986388371</v>
      </c>
      <c r="H38" s="147">
        <f t="shared" si="12"/>
        <v>7287.3455986388371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45304</v>
      </c>
      <c r="E39" s="164">
        <f>IF(+I14&lt;F38,I14,D39)</f>
        <v>2111</v>
      </c>
      <c r="F39" s="163">
        <f t="shared" si="10"/>
        <v>43193</v>
      </c>
      <c r="G39" s="165">
        <f t="shared" si="11"/>
        <v>7051.638449969706</v>
      </c>
      <c r="H39" s="147">
        <f t="shared" si="12"/>
        <v>7051.638449969706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43193</v>
      </c>
      <c r="E40" s="164">
        <f>IF(+I14&lt;F39,I14,D40)</f>
        <v>2111</v>
      </c>
      <c r="F40" s="163">
        <f t="shared" si="10"/>
        <v>41082</v>
      </c>
      <c r="G40" s="165">
        <f t="shared" si="11"/>
        <v>6815.9313013005749</v>
      </c>
      <c r="H40" s="147">
        <f t="shared" si="12"/>
        <v>6815.9313013005749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41082</v>
      </c>
      <c r="E41" s="164">
        <f>IF(+I14&lt;F40,I14,D41)</f>
        <v>2111</v>
      </c>
      <c r="F41" s="163">
        <f t="shared" si="10"/>
        <v>38971</v>
      </c>
      <c r="G41" s="165">
        <f t="shared" si="11"/>
        <v>6580.2241526314438</v>
      </c>
      <c r="H41" s="147">
        <f t="shared" si="12"/>
        <v>6580.2241526314438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38971</v>
      </c>
      <c r="E42" s="164">
        <f>IF(+I14&lt;F41,I14,D42)</f>
        <v>2111</v>
      </c>
      <c r="F42" s="163">
        <f t="shared" si="10"/>
        <v>36860</v>
      </c>
      <c r="G42" s="165">
        <f t="shared" si="11"/>
        <v>6344.5170039623126</v>
      </c>
      <c r="H42" s="147">
        <f t="shared" si="12"/>
        <v>6344.5170039623126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36860</v>
      </c>
      <c r="E43" s="164">
        <f>IF(+I14&lt;F42,I14,D43)</f>
        <v>2111</v>
      </c>
      <c r="F43" s="163">
        <f t="shared" si="10"/>
        <v>34749</v>
      </c>
      <c r="G43" s="165">
        <f t="shared" si="11"/>
        <v>6108.8098552931815</v>
      </c>
      <c r="H43" s="147">
        <f t="shared" si="12"/>
        <v>6108.8098552931815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34749</v>
      </c>
      <c r="E44" s="164">
        <f>IF(+I14&lt;F43,I14,D44)</f>
        <v>2111</v>
      </c>
      <c r="F44" s="163">
        <f t="shared" si="10"/>
        <v>32638</v>
      </c>
      <c r="G44" s="165">
        <f t="shared" si="11"/>
        <v>5873.1027066240504</v>
      </c>
      <c r="H44" s="147">
        <f t="shared" si="12"/>
        <v>5873.1027066240504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32638</v>
      </c>
      <c r="E45" s="164">
        <f>IF(+I14&lt;F44,I14,D45)</f>
        <v>2111</v>
      </c>
      <c r="F45" s="163">
        <f t="shared" si="10"/>
        <v>30527</v>
      </c>
      <c r="G45" s="165">
        <f t="shared" si="11"/>
        <v>5637.3955579549192</v>
      </c>
      <c r="H45" s="147">
        <f t="shared" si="12"/>
        <v>5637.3955579549192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30527</v>
      </c>
      <c r="E46" s="164">
        <f>IF(+I14&lt;F45,I14,D46)</f>
        <v>2111</v>
      </c>
      <c r="F46" s="163">
        <f t="shared" si="10"/>
        <v>28416</v>
      </c>
      <c r="G46" s="165">
        <f t="shared" si="11"/>
        <v>5401.6884092857881</v>
      </c>
      <c r="H46" s="147">
        <f t="shared" si="12"/>
        <v>5401.6884092857881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28416</v>
      </c>
      <c r="E47" s="164">
        <f>IF(+I14&lt;F46,I14,D47)</f>
        <v>2111</v>
      </c>
      <c r="F47" s="163">
        <f t="shared" si="10"/>
        <v>26305</v>
      </c>
      <c r="G47" s="165">
        <f t="shared" si="11"/>
        <v>5165.981260616657</v>
      </c>
      <c r="H47" s="147">
        <f t="shared" si="12"/>
        <v>5165.981260616657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26305</v>
      </c>
      <c r="E48" s="164">
        <f>IF(+I14&lt;F47,I14,D48)</f>
        <v>2111</v>
      </c>
      <c r="F48" s="163">
        <f t="shared" si="10"/>
        <v>24194</v>
      </c>
      <c r="G48" s="165">
        <f t="shared" si="11"/>
        <v>4930.2741119475259</v>
      </c>
      <c r="H48" s="147">
        <f t="shared" si="12"/>
        <v>4930.2741119475259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24194</v>
      </c>
      <c r="E49" s="164">
        <f>IF(+I14&lt;F48,I14,D49)</f>
        <v>2111</v>
      </c>
      <c r="F49" s="163">
        <f t="shared" ref="F49:F72" si="13">+D49-E49</f>
        <v>22083</v>
      </c>
      <c r="G49" s="165">
        <f t="shared" si="11"/>
        <v>4694.5669632783947</v>
      </c>
      <c r="H49" s="147">
        <f t="shared" si="12"/>
        <v>4694.5669632783947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22083</v>
      </c>
      <c r="E50" s="164">
        <f>IF(+I14&lt;F49,I14,D50)</f>
        <v>2111</v>
      </c>
      <c r="F50" s="163">
        <f t="shared" si="13"/>
        <v>19972</v>
      </c>
      <c r="G50" s="165">
        <f t="shared" si="11"/>
        <v>4458.8598146092627</v>
      </c>
      <c r="H50" s="147">
        <f t="shared" si="12"/>
        <v>4458.8598146092627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19972</v>
      </c>
      <c r="E51" s="164">
        <f>IF(+I14&lt;F50,I14,D51)</f>
        <v>2111</v>
      </c>
      <c r="F51" s="163">
        <f t="shared" si="13"/>
        <v>17861</v>
      </c>
      <c r="G51" s="165">
        <f t="shared" si="11"/>
        <v>4223.1526659401316</v>
      </c>
      <c r="H51" s="147">
        <f t="shared" si="12"/>
        <v>4223.1526659401316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17861</v>
      </c>
      <c r="E52" s="164">
        <f>IF(+I14&lt;F51,I14,D52)</f>
        <v>2111</v>
      </c>
      <c r="F52" s="163">
        <f t="shared" si="13"/>
        <v>15750</v>
      </c>
      <c r="G52" s="165">
        <f t="shared" si="11"/>
        <v>3987.4455172710013</v>
      </c>
      <c r="H52" s="147">
        <f t="shared" si="12"/>
        <v>3987.4455172710013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15750</v>
      </c>
      <c r="E53" s="164">
        <f>IF(+I14&lt;F52,I14,D53)</f>
        <v>2111</v>
      </c>
      <c r="F53" s="163">
        <f t="shared" si="13"/>
        <v>13639</v>
      </c>
      <c r="G53" s="165">
        <f t="shared" si="11"/>
        <v>3751.7383686018702</v>
      </c>
      <c r="H53" s="147">
        <f t="shared" si="12"/>
        <v>3751.7383686018702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13639</v>
      </c>
      <c r="E54" s="164">
        <f>IF(+I14&lt;F53,I14,D54)</f>
        <v>2111</v>
      </c>
      <c r="F54" s="163">
        <f t="shared" si="13"/>
        <v>11528</v>
      </c>
      <c r="G54" s="165">
        <f t="shared" si="11"/>
        <v>3516.0312199327391</v>
      </c>
      <c r="H54" s="147">
        <f t="shared" si="12"/>
        <v>3516.0312199327391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11528</v>
      </c>
      <c r="E55" s="164">
        <f>IF(+I14&lt;F54,I14,D55)</f>
        <v>2111</v>
      </c>
      <c r="F55" s="163">
        <f t="shared" si="13"/>
        <v>9417</v>
      </c>
      <c r="G55" s="165">
        <f t="shared" si="11"/>
        <v>3280.3240712636079</v>
      </c>
      <c r="H55" s="147">
        <f t="shared" si="12"/>
        <v>3280.3240712636079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9417</v>
      </c>
      <c r="E56" s="164">
        <f>IF(+I14&lt;F55,I14,D56)</f>
        <v>2111</v>
      </c>
      <c r="F56" s="163">
        <f t="shared" si="13"/>
        <v>7306</v>
      </c>
      <c r="G56" s="165">
        <f t="shared" si="11"/>
        <v>3044.6169225944768</v>
      </c>
      <c r="H56" s="147">
        <f t="shared" si="12"/>
        <v>3044.6169225944768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7306</v>
      </c>
      <c r="E57" s="164">
        <f>IF(+I14&lt;F56,I14,D57)</f>
        <v>2111</v>
      </c>
      <c r="F57" s="163">
        <f t="shared" si="13"/>
        <v>5195</v>
      </c>
      <c r="G57" s="165">
        <f t="shared" si="11"/>
        <v>2808.9097739253457</v>
      </c>
      <c r="H57" s="147">
        <f t="shared" si="12"/>
        <v>2808.9097739253457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5195</v>
      </c>
      <c r="E58" s="164">
        <f>IF(+I14&lt;F57,I14,D58)</f>
        <v>2111</v>
      </c>
      <c r="F58" s="163">
        <f t="shared" si="13"/>
        <v>3084</v>
      </c>
      <c r="G58" s="165">
        <f t="shared" si="11"/>
        <v>2573.2026252562141</v>
      </c>
      <c r="H58" s="147">
        <f t="shared" si="12"/>
        <v>2573.2026252562141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3084</v>
      </c>
      <c r="E59" s="164">
        <f>IF(+I14&lt;F58,I14,D59)</f>
        <v>2111</v>
      </c>
      <c r="F59" s="163">
        <f t="shared" si="13"/>
        <v>973</v>
      </c>
      <c r="G59" s="165">
        <f t="shared" si="11"/>
        <v>2337.495476587083</v>
      </c>
      <c r="H59" s="147">
        <f t="shared" si="12"/>
        <v>2337.495476587083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973</v>
      </c>
      <c r="E60" s="164">
        <f>IF(+I14&lt;F59,I14,D60)</f>
        <v>973</v>
      </c>
      <c r="F60" s="163">
        <f t="shared" si="13"/>
        <v>0</v>
      </c>
      <c r="G60" s="165">
        <f t="shared" si="11"/>
        <v>1027.3209511262587</v>
      </c>
      <c r="H60" s="147">
        <f t="shared" si="12"/>
        <v>1027.3209511262587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84424</v>
      </c>
      <c r="F73" s="115"/>
      <c r="G73" s="115">
        <f>SUM(G17:G72)</f>
        <v>289188.56178648851</v>
      </c>
      <c r="H73" s="115">
        <f>SUM(H17:H72)</f>
        <v>289188.56178648851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7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10525.630109322938</v>
      </c>
      <c r="N87" s="202">
        <f>IF(J92&lt;D11,0,VLOOKUP(J92,C17:O72,11))</f>
        <v>10525.630109322938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10561.882642914878</v>
      </c>
      <c r="N88" s="204">
        <f>IF(J92&lt;D11,0,VLOOKUP(J92,C99:P154,7))</f>
        <v>10561.882642914878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Elk City - Elk City 69 kV line (CT Upgrades)*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36.252533591939937</v>
      </c>
      <c r="N89" s="207">
        <f>+N88-N87</f>
        <v>36.252533591939937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TP2007015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84424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1835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2007</v>
      </c>
      <c r="D99" s="366">
        <v>0</v>
      </c>
      <c r="E99" s="368">
        <v>0</v>
      </c>
      <c r="F99" s="371">
        <v>84424</v>
      </c>
      <c r="G99" s="373">
        <v>42212</v>
      </c>
      <c r="H99" s="374">
        <v>0</v>
      </c>
      <c r="I99" s="375">
        <v>0</v>
      </c>
      <c r="J99" s="162">
        <f t="shared" ref="J99:J130" si="18">+I99-H99</f>
        <v>0</v>
      </c>
      <c r="K99" s="162"/>
      <c r="L99" s="337">
        <v>0</v>
      </c>
      <c r="M99" s="161">
        <f t="shared" ref="M99:M130" si="19">IF(L99&lt;&gt;0,+H99-L99,0)</f>
        <v>0</v>
      </c>
      <c r="N99" s="337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6">
        <v>84424</v>
      </c>
      <c r="E100" s="368">
        <v>1593</v>
      </c>
      <c r="F100" s="371">
        <v>82831</v>
      </c>
      <c r="G100" s="371">
        <v>83628</v>
      </c>
      <c r="H100" s="368">
        <v>14877</v>
      </c>
      <c r="I100" s="370">
        <v>14877</v>
      </c>
      <c r="J100" s="162">
        <f t="shared" si="18"/>
        <v>0</v>
      </c>
      <c r="K100" s="162"/>
      <c r="L100" s="338">
        <v>14877</v>
      </c>
      <c r="M100" s="162">
        <f t="shared" si="19"/>
        <v>0</v>
      </c>
      <c r="N100" s="338">
        <v>14877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2009</v>
      </c>
      <c r="D101" s="366">
        <v>82831</v>
      </c>
      <c r="E101" s="368">
        <v>1508</v>
      </c>
      <c r="F101" s="371">
        <v>81323</v>
      </c>
      <c r="G101" s="371">
        <v>82077</v>
      </c>
      <c r="H101" s="368">
        <v>13508.337143636172</v>
      </c>
      <c r="I101" s="370">
        <v>13508.337143636172</v>
      </c>
      <c r="J101" s="162">
        <f t="shared" si="18"/>
        <v>0</v>
      </c>
      <c r="K101" s="162"/>
      <c r="L101" s="380">
        <f t="shared" ref="L101:L106" si="23">H101</f>
        <v>13508.337143636172</v>
      </c>
      <c r="M101" s="381">
        <f t="shared" si="19"/>
        <v>0</v>
      </c>
      <c r="N101" s="380">
        <f t="shared" ref="N101:N106" si="24">I101</f>
        <v>13508.337143636172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2010</v>
      </c>
      <c r="D102" s="366">
        <v>81323</v>
      </c>
      <c r="E102" s="368">
        <v>1655</v>
      </c>
      <c r="F102" s="371">
        <v>79668</v>
      </c>
      <c r="G102" s="371">
        <v>80495.5</v>
      </c>
      <c r="H102" s="368">
        <v>14599.901682354179</v>
      </c>
      <c r="I102" s="370">
        <v>14599.901682354179</v>
      </c>
      <c r="J102" s="162">
        <f t="shared" si="18"/>
        <v>0</v>
      </c>
      <c r="K102" s="162"/>
      <c r="L102" s="380">
        <f t="shared" si="23"/>
        <v>14599.901682354179</v>
      </c>
      <c r="M102" s="381">
        <f t="shared" si="19"/>
        <v>0</v>
      </c>
      <c r="N102" s="380">
        <f t="shared" si="24"/>
        <v>14599.901682354179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2011</v>
      </c>
      <c r="D103" s="366">
        <v>79668</v>
      </c>
      <c r="E103" s="368">
        <v>1624</v>
      </c>
      <c r="F103" s="371">
        <v>78044</v>
      </c>
      <c r="G103" s="371">
        <v>78856</v>
      </c>
      <c r="H103" s="368">
        <v>12649.128461660426</v>
      </c>
      <c r="I103" s="370">
        <v>12649.128461660426</v>
      </c>
      <c r="J103" s="162">
        <f t="shared" si="18"/>
        <v>0</v>
      </c>
      <c r="K103" s="162"/>
      <c r="L103" s="380">
        <f t="shared" si="23"/>
        <v>12649.128461660426</v>
      </c>
      <c r="M103" s="381">
        <f t="shared" si="19"/>
        <v>0</v>
      </c>
      <c r="N103" s="380">
        <f t="shared" si="24"/>
        <v>12649.128461660426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2012</v>
      </c>
      <c r="D104" s="366">
        <v>78044</v>
      </c>
      <c r="E104" s="368">
        <v>1624</v>
      </c>
      <c r="F104" s="371">
        <v>76420</v>
      </c>
      <c r="G104" s="371">
        <v>77232</v>
      </c>
      <c r="H104" s="368">
        <v>12734.246570183563</v>
      </c>
      <c r="I104" s="370">
        <v>12734.246570183563</v>
      </c>
      <c r="J104" s="162">
        <v>0</v>
      </c>
      <c r="K104" s="162"/>
      <c r="L104" s="380">
        <f t="shared" si="23"/>
        <v>12734.246570183563</v>
      </c>
      <c r="M104" s="381">
        <f>IF(L104&lt;&gt;0,+H104-L104,0)</f>
        <v>0</v>
      </c>
      <c r="N104" s="380">
        <f t="shared" si="24"/>
        <v>12734.246570183563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2"/>
        <v/>
      </c>
      <c r="C105" s="157">
        <f>IF(D93="","-",+C104+1)</f>
        <v>2013</v>
      </c>
      <c r="D105" s="366">
        <v>76420</v>
      </c>
      <c r="E105" s="368">
        <v>1624</v>
      </c>
      <c r="F105" s="371">
        <v>74796</v>
      </c>
      <c r="G105" s="371">
        <v>75608</v>
      </c>
      <c r="H105" s="368">
        <v>12506.984818583547</v>
      </c>
      <c r="I105" s="370">
        <v>12506.984818583547</v>
      </c>
      <c r="J105" s="162">
        <v>0</v>
      </c>
      <c r="K105" s="162"/>
      <c r="L105" s="380">
        <f t="shared" si="23"/>
        <v>12506.984818583547</v>
      </c>
      <c r="M105" s="381">
        <f>IF(L105&lt;&gt;0,+H105-L105,0)</f>
        <v>0</v>
      </c>
      <c r="N105" s="380">
        <f t="shared" si="24"/>
        <v>12506.984818583547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2"/>
        <v/>
      </c>
      <c r="C106" s="157">
        <f>IF(D93="","-",+C105+1)</f>
        <v>2014</v>
      </c>
      <c r="D106" s="366">
        <v>74796</v>
      </c>
      <c r="E106" s="368">
        <v>1624</v>
      </c>
      <c r="F106" s="371">
        <v>73172</v>
      </c>
      <c r="G106" s="371">
        <v>73984</v>
      </c>
      <c r="H106" s="368">
        <v>12025.847971361507</v>
      </c>
      <c r="I106" s="370">
        <v>12025.847971361507</v>
      </c>
      <c r="J106" s="162">
        <v>0</v>
      </c>
      <c r="K106" s="162"/>
      <c r="L106" s="380">
        <f t="shared" si="23"/>
        <v>12025.847971361507</v>
      </c>
      <c r="M106" s="381">
        <f>IF(L106&lt;&gt;0,+H106-L106,0)</f>
        <v>0</v>
      </c>
      <c r="N106" s="380">
        <f t="shared" si="24"/>
        <v>12025.847971361507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2"/>
        <v/>
      </c>
      <c r="C107" s="157">
        <f>IF(D93="","-",+C106+1)</f>
        <v>2015</v>
      </c>
      <c r="D107" s="366">
        <v>73172</v>
      </c>
      <c r="E107" s="368">
        <v>1624</v>
      </c>
      <c r="F107" s="371">
        <v>71548</v>
      </c>
      <c r="G107" s="371">
        <v>72360</v>
      </c>
      <c r="H107" s="368">
        <v>11496.940196929139</v>
      </c>
      <c r="I107" s="370">
        <v>11496.940196929139</v>
      </c>
      <c r="J107" s="162">
        <f t="shared" si="18"/>
        <v>0</v>
      </c>
      <c r="K107" s="162"/>
      <c r="L107" s="380">
        <f>H107</f>
        <v>11496.940196929139</v>
      </c>
      <c r="M107" s="381">
        <f>IF(L107&lt;&gt;0,+H107-L107,0)</f>
        <v>0</v>
      </c>
      <c r="N107" s="380">
        <f>I107</f>
        <v>11496.940196929139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2"/>
        <v/>
      </c>
      <c r="C108" s="157">
        <f>IF(D93="","-",+C107+1)</f>
        <v>2016</v>
      </c>
      <c r="D108" s="366">
        <v>71548</v>
      </c>
      <c r="E108" s="368">
        <v>1835</v>
      </c>
      <c r="F108" s="371">
        <v>69713</v>
      </c>
      <c r="G108" s="371">
        <v>70630.5</v>
      </c>
      <c r="H108" s="368">
        <v>10940.383800869789</v>
      </c>
      <c r="I108" s="370">
        <v>10940.383800869789</v>
      </c>
      <c r="J108" s="162">
        <v>0</v>
      </c>
      <c r="K108" s="162"/>
      <c r="L108" s="380">
        <f>H108</f>
        <v>10940.383800869789</v>
      </c>
      <c r="M108" s="381">
        <f>IF(L108&lt;&gt;0,+H108-L108,0)</f>
        <v>0</v>
      </c>
      <c r="N108" s="380">
        <f>I108</f>
        <v>10940.383800869789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22"/>
        <v/>
      </c>
      <c r="C109" s="157">
        <f>IF(D93="","-",+C108+1)</f>
        <v>2017</v>
      </c>
      <c r="D109" s="158">
        <f>IF(F108+SUM(E$99:E108)=D$92,F108,D$92-SUM(E$99:E108))</f>
        <v>69713</v>
      </c>
      <c r="E109" s="165">
        <f>IF(+J96&lt;F108,J96,D109)</f>
        <v>1835</v>
      </c>
      <c r="F109" s="163">
        <f t="shared" ref="F109:F129" si="25">+D109-E109</f>
        <v>67878</v>
      </c>
      <c r="G109" s="163">
        <f t="shared" ref="G109:G129" si="26">+(F109+D109)/2</f>
        <v>68795.5</v>
      </c>
      <c r="H109" s="167">
        <f t="shared" ref="H109:H154" si="27">+J$94*G109+E109</f>
        <v>10561.882642914878</v>
      </c>
      <c r="I109" s="317">
        <f t="shared" ref="I109:I154" si="28">+J$95*G109+E109</f>
        <v>10561.882642914878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2"/>
        <v/>
      </c>
      <c r="C110" s="157">
        <f>IF(D93="","-",+C109+1)</f>
        <v>2018</v>
      </c>
      <c r="D110" s="158">
        <f>IF(F109+SUM(E$99:E109)=D$92,F109,D$92-SUM(E$99:E109))</f>
        <v>67878</v>
      </c>
      <c r="E110" s="165">
        <f>IF(+J96&lt;F109,J96,D110)</f>
        <v>1835</v>
      </c>
      <c r="F110" s="163">
        <f t="shared" si="25"/>
        <v>66043</v>
      </c>
      <c r="G110" s="163">
        <f t="shared" si="26"/>
        <v>66960.5</v>
      </c>
      <c r="H110" s="167">
        <f t="shared" si="27"/>
        <v>10329.108265960735</v>
      </c>
      <c r="I110" s="317">
        <f t="shared" si="28"/>
        <v>10329.108265960735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2019</v>
      </c>
      <c r="D111" s="158">
        <f>IF(F110+SUM(E$99:E110)=D$92,F110,D$92-SUM(E$99:E110))</f>
        <v>66043</v>
      </c>
      <c r="E111" s="165">
        <f>IF(+J96&lt;F110,J96,D111)</f>
        <v>1835</v>
      </c>
      <c r="F111" s="163">
        <f t="shared" si="25"/>
        <v>64208</v>
      </c>
      <c r="G111" s="163">
        <f t="shared" si="26"/>
        <v>65125.5</v>
      </c>
      <c r="H111" s="167">
        <f t="shared" si="27"/>
        <v>10096.333889006592</v>
      </c>
      <c r="I111" s="317">
        <f t="shared" si="28"/>
        <v>10096.333889006592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2020</v>
      </c>
      <c r="D112" s="158">
        <f>IF(F111+SUM(E$99:E111)=D$92,F111,D$92-SUM(E$99:E111))</f>
        <v>64208</v>
      </c>
      <c r="E112" s="165">
        <f>IF(+J96&lt;F111,J96,D112)</f>
        <v>1835</v>
      </c>
      <c r="F112" s="163">
        <f t="shared" si="25"/>
        <v>62373</v>
      </c>
      <c r="G112" s="163">
        <f t="shared" si="26"/>
        <v>63290.5</v>
      </c>
      <c r="H112" s="167">
        <f t="shared" si="27"/>
        <v>9863.5595120524467</v>
      </c>
      <c r="I112" s="317">
        <f t="shared" si="28"/>
        <v>9863.5595120524467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2021</v>
      </c>
      <c r="D113" s="158">
        <f>IF(F112+SUM(E$99:E112)=D$92,F112,D$92-SUM(E$99:E112))</f>
        <v>62373</v>
      </c>
      <c r="E113" s="165">
        <f>IF(+J96&lt;F112,J96,D113)</f>
        <v>1835</v>
      </c>
      <c r="F113" s="163">
        <f t="shared" si="25"/>
        <v>60538</v>
      </c>
      <c r="G113" s="163">
        <f t="shared" si="26"/>
        <v>61455.5</v>
      </c>
      <c r="H113" s="167">
        <f t="shared" si="27"/>
        <v>9630.7851350983037</v>
      </c>
      <c r="I113" s="317">
        <f t="shared" si="28"/>
        <v>9630.7851350983037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2022</v>
      </c>
      <c r="D114" s="158">
        <f>IF(F113+SUM(E$99:E113)=D$92,F113,D$92-SUM(E$99:E113))</f>
        <v>60538</v>
      </c>
      <c r="E114" s="165">
        <f>IF(+J96&lt;F113,J96,D114)</f>
        <v>1835</v>
      </c>
      <c r="F114" s="163">
        <f t="shared" si="25"/>
        <v>58703</v>
      </c>
      <c r="G114" s="163">
        <f t="shared" si="26"/>
        <v>59620.5</v>
      </c>
      <c r="H114" s="167">
        <f t="shared" si="27"/>
        <v>9398.0107581441589</v>
      </c>
      <c r="I114" s="317">
        <f t="shared" si="28"/>
        <v>9398.0107581441589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2023</v>
      </c>
      <c r="D115" s="158">
        <f>IF(F114+SUM(E$99:E114)=D$92,F114,D$92-SUM(E$99:E114))</f>
        <v>58703</v>
      </c>
      <c r="E115" s="165">
        <f>IF(+J96&lt;F114,J96,D115)</f>
        <v>1835</v>
      </c>
      <c r="F115" s="163">
        <f t="shared" si="25"/>
        <v>56868</v>
      </c>
      <c r="G115" s="163">
        <f t="shared" si="26"/>
        <v>57785.5</v>
      </c>
      <c r="H115" s="167">
        <f t="shared" si="27"/>
        <v>9165.2363811900159</v>
      </c>
      <c r="I115" s="317">
        <f t="shared" si="28"/>
        <v>9165.2363811900159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2024</v>
      </c>
      <c r="D116" s="158">
        <f>IF(F115+SUM(E$99:E115)=D$92,F115,D$92-SUM(E$99:E115))</f>
        <v>56868</v>
      </c>
      <c r="E116" s="165">
        <f>IF(+J96&lt;F115,J96,D116)</f>
        <v>1835</v>
      </c>
      <c r="F116" s="163">
        <f t="shared" si="25"/>
        <v>55033</v>
      </c>
      <c r="G116" s="163">
        <f t="shared" si="26"/>
        <v>55950.5</v>
      </c>
      <c r="H116" s="167">
        <f t="shared" si="27"/>
        <v>8932.4620042358729</v>
      </c>
      <c r="I116" s="317">
        <f t="shared" si="28"/>
        <v>8932.4620042358729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2025</v>
      </c>
      <c r="D117" s="158">
        <f>IF(F116+SUM(E$99:E116)=D$92,F116,D$92-SUM(E$99:E116))</f>
        <v>55033</v>
      </c>
      <c r="E117" s="165">
        <f>IF(+J96&lt;F116,J96,D117)</f>
        <v>1835</v>
      </c>
      <c r="F117" s="163">
        <f t="shared" si="25"/>
        <v>53198</v>
      </c>
      <c r="G117" s="163">
        <f t="shared" si="26"/>
        <v>54115.5</v>
      </c>
      <c r="H117" s="167">
        <f t="shared" si="27"/>
        <v>8699.6876272817281</v>
      </c>
      <c r="I117" s="317">
        <f t="shared" si="28"/>
        <v>8699.6876272817281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2026</v>
      </c>
      <c r="D118" s="158">
        <f>IF(F117+SUM(E$99:E117)=D$92,F117,D$92-SUM(E$99:E117))</f>
        <v>53198</v>
      </c>
      <c r="E118" s="165">
        <f>IF(+J96&lt;F117,J96,D118)</f>
        <v>1835</v>
      </c>
      <c r="F118" s="163">
        <f t="shared" si="25"/>
        <v>51363</v>
      </c>
      <c r="G118" s="163">
        <f t="shared" si="26"/>
        <v>52280.5</v>
      </c>
      <c r="H118" s="167">
        <f t="shared" si="27"/>
        <v>8466.9132503275832</v>
      </c>
      <c r="I118" s="317">
        <f t="shared" si="28"/>
        <v>8466.9132503275832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2027</v>
      </c>
      <c r="D119" s="158">
        <f>IF(F118+SUM(E$99:E118)=D$92,F118,D$92-SUM(E$99:E118))</f>
        <v>51363</v>
      </c>
      <c r="E119" s="165">
        <f>IF(+J96&lt;F118,J96,D119)</f>
        <v>1835</v>
      </c>
      <c r="F119" s="163">
        <f t="shared" si="25"/>
        <v>49528</v>
      </c>
      <c r="G119" s="163">
        <f t="shared" si="26"/>
        <v>50445.5</v>
      </c>
      <c r="H119" s="167">
        <f t="shared" si="27"/>
        <v>8234.1388733734402</v>
      </c>
      <c r="I119" s="317">
        <f t="shared" si="28"/>
        <v>8234.1388733734402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2028</v>
      </c>
      <c r="D120" s="158">
        <f>IF(F119+SUM(E$99:E119)=D$92,F119,D$92-SUM(E$99:E119))</f>
        <v>49528</v>
      </c>
      <c r="E120" s="165">
        <f>IF(+J96&lt;F119,J96,D120)</f>
        <v>1835</v>
      </c>
      <c r="F120" s="163">
        <f t="shared" si="25"/>
        <v>47693</v>
      </c>
      <c r="G120" s="163">
        <f t="shared" si="26"/>
        <v>48610.5</v>
      </c>
      <c r="H120" s="167">
        <f t="shared" si="27"/>
        <v>8001.3644964192963</v>
      </c>
      <c r="I120" s="317">
        <f t="shared" si="28"/>
        <v>8001.3644964192963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2029</v>
      </c>
      <c r="D121" s="158">
        <f>IF(F120+SUM(E$99:E120)=D$92,F120,D$92-SUM(E$99:E120))</f>
        <v>47693</v>
      </c>
      <c r="E121" s="165">
        <f>IF(+J96&lt;F120,J96,D121)</f>
        <v>1835</v>
      </c>
      <c r="F121" s="163">
        <f t="shared" si="25"/>
        <v>45858</v>
      </c>
      <c r="G121" s="163">
        <f t="shared" si="26"/>
        <v>46775.5</v>
      </c>
      <c r="H121" s="167">
        <f t="shared" si="27"/>
        <v>7768.5901194651524</v>
      </c>
      <c r="I121" s="317">
        <f t="shared" si="28"/>
        <v>7768.5901194651524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2030</v>
      </c>
      <c r="D122" s="158">
        <f>IF(F121+SUM(E$99:E121)=D$92,F121,D$92-SUM(E$99:E121))</f>
        <v>45858</v>
      </c>
      <c r="E122" s="165">
        <f>IF(+J96&lt;F121,J96,D122)</f>
        <v>1835</v>
      </c>
      <c r="F122" s="163">
        <f t="shared" si="25"/>
        <v>44023</v>
      </c>
      <c r="G122" s="163">
        <f t="shared" si="26"/>
        <v>44940.5</v>
      </c>
      <c r="H122" s="167">
        <f t="shared" si="27"/>
        <v>7535.8157425110085</v>
      </c>
      <c r="I122" s="317">
        <f t="shared" si="28"/>
        <v>7535.8157425110085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2031</v>
      </c>
      <c r="D123" s="158">
        <f>IF(F122+SUM(E$99:E122)=D$92,F122,D$92-SUM(E$99:E122))</f>
        <v>44023</v>
      </c>
      <c r="E123" s="165">
        <f>IF(+J96&lt;F122,J96,D123)</f>
        <v>1835</v>
      </c>
      <c r="F123" s="163">
        <f t="shared" si="25"/>
        <v>42188</v>
      </c>
      <c r="G123" s="163">
        <f t="shared" si="26"/>
        <v>43105.5</v>
      </c>
      <c r="H123" s="167">
        <f t="shared" si="27"/>
        <v>7303.0413655568645</v>
      </c>
      <c r="I123" s="317">
        <f t="shared" si="28"/>
        <v>7303.0413655568645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2032</v>
      </c>
      <c r="D124" s="158">
        <f>IF(F123+SUM(E$99:E123)=D$92,F123,D$92-SUM(E$99:E123))</f>
        <v>42188</v>
      </c>
      <c r="E124" s="165">
        <f>IF(+J96&lt;F123,J96,D124)</f>
        <v>1835</v>
      </c>
      <c r="F124" s="163">
        <f t="shared" si="25"/>
        <v>40353</v>
      </c>
      <c r="G124" s="163">
        <f t="shared" si="26"/>
        <v>41270.5</v>
      </c>
      <c r="H124" s="167">
        <f t="shared" si="27"/>
        <v>7070.2669886027206</v>
      </c>
      <c r="I124" s="317">
        <f t="shared" si="28"/>
        <v>7070.2669886027206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2033</v>
      </c>
      <c r="D125" s="158">
        <f>IF(F124+SUM(E$99:E124)=D$92,F124,D$92-SUM(E$99:E124))</f>
        <v>40353</v>
      </c>
      <c r="E125" s="165">
        <f>IF(+J96&lt;F124,J96,D125)</f>
        <v>1835</v>
      </c>
      <c r="F125" s="163">
        <f t="shared" si="25"/>
        <v>38518</v>
      </c>
      <c r="G125" s="163">
        <f t="shared" si="26"/>
        <v>39435.5</v>
      </c>
      <c r="H125" s="167">
        <f t="shared" si="27"/>
        <v>6837.4926116485767</v>
      </c>
      <c r="I125" s="317">
        <f t="shared" si="28"/>
        <v>6837.4926116485767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2034</v>
      </c>
      <c r="D126" s="158">
        <f>IF(F125+SUM(E$99:E125)=D$92,F125,D$92-SUM(E$99:E125))</f>
        <v>38518</v>
      </c>
      <c r="E126" s="165">
        <f>IF(+J96&lt;F125,J96,D126)</f>
        <v>1835</v>
      </c>
      <c r="F126" s="163">
        <f t="shared" si="25"/>
        <v>36683</v>
      </c>
      <c r="G126" s="163">
        <f t="shared" si="26"/>
        <v>37600.5</v>
      </c>
      <c r="H126" s="167">
        <f t="shared" si="27"/>
        <v>6604.7182346944337</v>
      </c>
      <c r="I126" s="317">
        <f t="shared" si="28"/>
        <v>6604.7182346944337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2035</v>
      </c>
      <c r="D127" s="158">
        <f>IF(F126+SUM(E$99:E126)=D$92,F126,D$92-SUM(E$99:E126))</f>
        <v>36683</v>
      </c>
      <c r="E127" s="165">
        <f>IF(+J96&lt;F126,J96,D127)</f>
        <v>1835</v>
      </c>
      <c r="F127" s="163">
        <f t="shared" si="25"/>
        <v>34848</v>
      </c>
      <c r="G127" s="163">
        <f t="shared" si="26"/>
        <v>35765.5</v>
      </c>
      <c r="H127" s="167">
        <f t="shared" si="27"/>
        <v>6371.9438577402898</v>
      </c>
      <c r="I127" s="317">
        <f t="shared" si="28"/>
        <v>6371.9438577402898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2036</v>
      </c>
      <c r="D128" s="158">
        <f>IF(F127+SUM(E$99:E127)=D$92,F127,D$92-SUM(E$99:E127))</f>
        <v>34848</v>
      </c>
      <c r="E128" s="165">
        <f>IF(+J96&lt;F127,J96,D128)</f>
        <v>1835</v>
      </c>
      <c r="F128" s="163">
        <f t="shared" si="25"/>
        <v>33013</v>
      </c>
      <c r="G128" s="163">
        <f t="shared" si="26"/>
        <v>33930.5</v>
      </c>
      <c r="H128" s="167">
        <f t="shared" si="27"/>
        <v>6139.1694807861459</v>
      </c>
      <c r="I128" s="317">
        <f t="shared" si="28"/>
        <v>6139.1694807861459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2037</v>
      </c>
      <c r="D129" s="158">
        <f>IF(F128+SUM(E$99:E128)=D$92,F128,D$92-SUM(E$99:E128))</f>
        <v>33013</v>
      </c>
      <c r="E129" s="165">
        <f>IF(+J96&lt;F128,J96,D129)</f>
        <v>1835</v>
      </c>
      <c r="F129" s="163">
        <f t="shared" si="25"/>
        <v>31178</v>
      </c>
      <c r="G129" s="163">
        <f t="shared" si="26"/>
        <v>32095.5</v>
      </c>
      <c r="H129" s="167">
        <f t="shared" si="27"/>
        <v>5906.395103832002</v>
      </c>
      <c r="I129" s="317">
        <f t="shared" si="28"/>
        <v>5906.395103832002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2038</v>
      </c>
      <c r="D130" s="158">
        <f>IF(F129+SUM(E$99:E129)=D$92,F129,D$92-SUM(E$99:E129))</f>
        <v>31178</v>
      </c>
      <c r="E130" s="165">
        <f>IF(+J96&lt;F129,J96,D130)</f>
        <v>1835</v>
      </c>
      <c r="F130" s="163">
        <f t="shared" ref="F130:F153" si="29">+D130-E130</f>
        <v>29343</v>
      </c>
      <c r="G130" s="163">
        <f t="shared" ref="G130:G153" si="30">+(F130+D130)/2</f>
        <v>30260.5</v>
      </c>
      <c r="H130" s="167">
        <f t="shared" si="27"/>
        <v>5673.620726877858</v>
      </c>
      <c r="I130" s="317">
        <f t="shared" si="28"/>
        <v>5673.620726877858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2039</v>
      </c>
      <c r="D131" s="158">
        <f>IF(F130+SUM(E$99:E130)=D$92,F130,D$92-SUM(E$99:E130))</f>
        <v>29343</v>
      </c>
      <c r="E131" s="165">
        <f>IF(+J96&lt;F130,J96,D131)</f>
        <v>1835</v>
      </c>
      <c r="F131" s="163">
        <f t="shared" si="29"/>
        <v>27508</v>
      </c>
      <c r="G131" s="163">
        <f t="shared" si="30"/>
        <v>28425.5</v>
      </c>
      <c r="H131" s="167">
        <f t="shared" si="27"/>
        <v>5440.8463499237141</v>
      </c>
      <c r="I131" s="317">
        <f t="shared" si="28"/>
        <v>5440.8463499237141</v>
      </c>
      <c r="J131" s="162">
        <f t="shared" ref="J131:J154" si="31">+I382-H382</f>
        <v>0</v>
      </c>
      <c r="K131" s="162"/>
      <c r="L131" s="335"/>
      <c r="M131" s="162">
        <f t="shared" ref="M131:M154" si="32">IF(L382&lt;&gt;0,+H382-L382,0)</f>
        <v>0</v>
      </c>
      <c r="N131" s="335"/>
      <c r="O131" s="162">
        <f t="shared" ref="O131:O154" si="33">IF(N382&lt;&gt;0,+I382-N382,0)</f>
        <v>0</v>
      </c>
      <c r="P131" s="162">
        <f t="shared" ref="P131:P154" si="34">+O382-M382</f>
        <v>0</v>
      </c>
    </row>
    <row r="132" spans="2:16">
      <c r="B132" s="9" t="str">
        <f t="shared" si="22"/>
        <v/>
      </c>
      <c r="C132" s="157">
        <f>IF(D93="","-",+C131+1)</f>
        <v>2040</v>
      </c>
      <c r="D132" s="158">
        <f>IF(F131+SUM(E$99:E131)=D$92,F131,D$92-SUM(E$99:E131))</f>
        <v>27508</v>
      </c>
      <c r="E132" s="165">
        <f>IF(+J96&lt;F131,J96,D132)</f>
        <v>1835</v>
      </c>
      <c r="F132" s="163">
        <f t="shared" si="29"/>
        <v>25673</v>
      </c>
      <c r="G132" s="163">
        <f t="shared" si="30"/>
        <v>26590.5</v>
      </c>
      <c r="H132" s="167">
        <f t="shared" si="27"/>
        <v>5208.0719729695702</v>
      </c>
      <c r="I132" s="317">
        <f t="shared" si="28"/>
        <v>5208.0719729695702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2"/>
        <v/>
      </c>
      <c r="C133" s="157">
        <f>IF(D93="","-",+C132+1)</f>
        <v>2041</v>
      </c>
      <c r="D133" s="158">
        <f>IF(F132+SUM(E$99:E132)=D$92,F132,D$92-SUM(E$99:E132))</f>
        <v>25673</v>
      </c>
      <c r="E133" s="165">
        <f>IF(+J96&lt;F132,J96,D133)</f>
        <v>1835</v>
      </c>
      <c r="F133" s="163">
        <f t="shared" si="29"/>
        <v>23838</v>
      </c>
      <c r="G133" s="163">
        <f t="shared" si="30"/>
        <v>24755.5</v>
      </c>
      <c r="H133" s="167">
        <f t="shared" si="27"/>
        <v>4975.2975960154263</v>
      </c>
      <c r="I133" s="317">
        <f t="shared" si="28"/>
        <v>4975.2975960154263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2"/>
        <v/>
      </c>
      <c r="C134" s="157">
        <f>IF(D93="","-",+C133+1)</f>
        <v>2042</v>
      </c>
      <c r="D134" s="158">
        <f>IF(F133+SUM(E$99:E133)=D$92,F133,D$92-SUM(E$99:E133))</f>
        <v>23838</v>
      </c>
      <c r="E134" s="165">
        <f>IF(+J96&lt;F133,J96,D134)</f>
        <v>1835</v>
      </c>
      <c r="F134" s="163">
        <f t="shared" si="29"/>
        <v>22003</v>
      </c>
      <c r="G134" s="163">
        <f t="shared" si="30"/>
        <v>22920.5</v>
      </c>
      <c r="H134" s="167">
        <f t="shared" si="27"/>
        <v>4742.5232190612824</v>
      </c>
      <c r="I134" s="317">
        <f t="shared" si="28"/>
        <v>4742.5232190612824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2"/>
        <v/>
      </c>
      <c r="C135" s="157">
        <f>IF(D93="","-",+C134+1)</f>
        <v>2043</v>
      </c>
      <c r="D135" s="158">
        <f>IF(F134+SUM(E$99:E134)=D$92,F134,D$92-SUM(E$99:E134))</f>
        <v>22003</v>
      </c>
      <c r="E135" s="165">
        <f>IF(+J96&lt;F134,J96,D135)</f>
        <v>1835</v>
      </c>
      <c r="F135" s="163">
        <f t="shared" si="29"/>
        <v>20168</v>
      </c>
      <c r="G135" s="163">
        <f t="shared" si="30"/>
        <v>21085.5</v>
      </c>
      <c r="H135" s="167">
        <f t="shared" si="27"/>
        <v>4509.7488421071394</v>
      </c>
      <c r="I135" s="317">
        <f t="shared" si="28"/>
        <v>4509.7488421071394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2"/>
        <v/>
      </c>
      <c r="C136" s="157">
        <f>IF(D93="","-",+C135+1)</f>
        <v>2044</v>
      </c>
      <c r="D136" s="158">
        <f>IF(F135+SUM(E$99:E135)=D$92,F135,D$92-SUM(E$99:E135))</f>
        <v>20168</v>
      </c>
      <c r="E136" s="165">
        <f>IF(+J96&lt;F135,J96,D136)</f>
        <v>1835</v>
      </c>
      <c r="F136" s="163">
        <f t="shared" si="29"/>
        <v>18333</v>
      </c>
      <c r="G136" s="163">
        <f t="shared" si="30"/>
        <v>19250.5</v>
      </c>
      <c r="H136" s="167">
        <f t="shared" si="27"/>
        <v>4276.9744651529945</v>
      </c>
      <c r="I136" s="317">
        <f t="shared" si="28"/>
        <v>4276.9744651529945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2"/>
        <v/>
      </c>
      <c r="C137" s="157">
        <f>IF(D93="","-",+C136+1)</f>
        <v>2045</v>
      </c>
      <c r="D137" s="158">
        <f>IF(F136+SUM(E$99:E136)=D$92,F136,D$92-SUM(E$99:E136))</f>
        <v>18333</v>
      </c>
      <c r="E137" s="165">
        <f>IF(+J96&lt;F136,J96,D137)</f>
        <v>1835</v>
      </c>
      <c r="F137" s="163">
        <f t="shared" si="29"/>
        <v>16498</v>
      </c>
      <c r="G137" s="163">
        <f t="shared" si="30"/>
        <v>17415.5</v>
      </c>
      <c r="H137" s="167">
        <f t="shared" si="27"/>
        <v>4044.2000881988511</v>
      </c>
      <c r="I137" s="317">
        <f t="shared" si="28"/>
        <v>4044.2000881988511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2"/>
        <v/>
      </c>
      <c r="C138" s="157">
        <f>IF(D93="","-",+C137+1)</f>
        <v>2046</v>
      </c>
      <c r="D138" s="158">
        <f>IF(F137+SUM(E$99:E137)=D$92,F137,D$92-SUM(E$99:E137))</f>
        <v>16498</v>
      </c>
      <c r="E138" s="165">
        <f>IF(+J96&lt;F137,J96,D138)</f>
        <v>1835</v>
      </c>
      <c r="F138" s="163">
        <f t="shared" si="29"/>
        <v>14663</v>
      </c>
      <c r="G138" s="163">
        <f t="shared" si="30"/>
        <v>15580.5</v>
      </c>
      <c r="H138" s="167">
        <f t="shared" si="27"/>
        <v>3811.4257112447076</v>
      </c>
      <c r="I138" s="317">
        <f t="shared" si="28"/>
        <v>3811.4257112447076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2"/>
        <v/>
      </c>
      <c r="C139" s="157">
        <f>IF(D93="","-",+C138+1)</f>
        <v>2047</v>
      </c>
      <c r="D139" s="158">
        <f>IF(F138+SUM(E$99:E138)=D$92,F138,D$92-SUM(E$99:E138))</f>
        <v>14663</v>
      </c>
      <c r="E139" s="165">
        <f>IF(+J96&lt;F138,J96,D139)</f>
        <v>1835</v>
      </c>
      <c r="F139" s="163">
        <f t="shared" si="29"/>
        <v>12828</v>
      </c>
      <c r="G139" s="163">
        <f t="shared" si="30"/>
        <v>13745.5</v>
      </c>
      <c r="H139" s="167">
        <f t="shared" si="27"/>
        <v>3578.6513342905637</v>
      </c>
      <c r="I139" s="317">
        <f t="shared" si="28"/>
        <v>3578.6513342905637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2"/>
        <v/>
      </c>
      <c r="C140" s="157">
        <f>IF(D93="","-",+C139+1)</f>
        <v>2048</v>
      </c>
      <c r="D140" s="158">
        <f>IF(F139+SUM(E$99:E139)=D$92,F139,D$92-SUM(E$99:E139))</f>
        <v>12828</v>
      </c>
      <c r="E140" s="165">
        <f>IF(+J96&lt;F139,J96,D140)</f>
        <v>1835</v>
      </c>
      <c r="F140" s="163">
        <f t="shared" si="29"/>
        <v>10993</v>
      </c>
      <c r="G140" s="163">
        <f t="shared" si="30"/>
        <v>11910.5</v>
      </c>
      <c r="H140" s="167">
        <f t="shared" si="27"/>
        <v>3345.8769573364198</v>
      </c>
      <c r="I140" s="317">
        <f t="shared" si="28"/>
        <v>3345.8769573364198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2"/>
        <v/>
      </c>
      <c r="C141" s="157">
        <f>IF(D93="","-",+C140+1)</f>
        <v>2049</v>
      </c>
      <c r="D141" s="158">
        <f>IF(F140+SUM(E$99:E140)=D$92,F140,D$92-SUM(E$99:E140))</f>
        <v>10993</v>
      </c>
      <c r="E141" s="165">
        <f>IF(+J96&lt;F140,J96,D141)</f>
        <v>1835</v>
      </c>
      <c r="F141" s="163">
        <f t="shared" si="29"/>
        <v>9158</v>
      </c>
      <c r="G141" s="163">
        <f t="shared" si="30"/>
        <v>10075.5</v>
      </c>
      <c r="H141" s="167">
        <f t="shared" si="27"/>
        <v>3113.1025803822758</v>
      </c>
      <c r="I141" s="317">
        <f t="shared" si="28"/>
        <v>3113.1025803822758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2"/>
        <v/>
      </c>
      <c r="C142" s="157">
        <f>IF(D93="","-",+C141+1)</f>
        <v>2050</v>
      </c>
      <c r="D142" s="158">
        <f>IF(F141+SUM(E$99:E141)=D$92,F141,D$92-SUM(E$99:E141))</f>
        <v>9158</v>
      </c>
      <c r="E142" s="165">
        <f>IF(+J96&lt;F141,J96,D142)</f>
        <v>1835</v>
      </c>
      <c r="F142" s="163">
        <f t="shared" si="29"/>
        <v>7323</v>
      </c>
      <c r="G142" s="163">
        <f t="shared" si="30"/>
        <v>8240.5</v>
      </c>
      <c r="H142" s="167">
        <f t="shared" si="27"/>
        <v>2880.3282034281319</v>
      </c>
      <c r="I142" s="317">
        <f t="shared" si="28"/>
        <v>2880.3282034281319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2"/>
        <v/>
      </c>
      <c r="C143" s="157">
        <f>IF(D93="","-",+C142+1)</f>
        <v>2051</v>
      </c>
      <c r="D143" s="158">
        <f>IF(F142+SUM(E$99:E142)=D$92,F142,D$92-SUM(E$99:E142))</f>
        <v>7323</v>
      </c>
      <c r="E143" s="165">
        <f>IF(+J96&lt;F142,J96,D143)</f>
        <v>1835</v>
      </c>
      <c r="F143" s="163">
        <f t="shared" si="29"/>
        <v>5488</v>
      </c>
      <c r="G143" s="163">
        <f t="shared" si="30"/>
        <v>6405.5</v>
      </c>
      <c r="H143" s="167">
        <f t="shared" si="27"/>
        <v>2647.553826473988</v>
      </c>
      <c r="I143" s="317">
        <f t="shared" si="28"/>
        <v>2647.553826473988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2"/>
        <v/>
      </c>
      <c r="C144" s="157">
        <f>IF(D93="","-",+C143+1)</f>
        <v>2052</v>
      </c>
      <c r="D144" s="158">
        <f>IF(F143+SUM(E$99:E143)=D$92,F143,D$92-SUM(E$99:E143))</f>
        <v>5488</v>
      </c>
      <c r="E144" s="165">
        <f>IF(+J96&lt;F143,J96,D144)</f>
        <v>1835</v>
      </c>
      <c r="F144" s="163">
        <f t="shared" si="29"/>
        <v>3653</v>
      </c>
      <c r="G144" s="163">
        <f t="shared" si="30"/>
        <v>4570.5</v>
      </c>
      <c r="H144" s="167">
        <f t="shared" si="27"/>
        <v>2414.7794495198441</v>
      </c>
      <c r="I144" s="317">
        <f t="shared" si="28"/>
        <v>2414.7794495198441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2"/>
        <v/>
      </c>
      <c r="C145" s="157">
        <f>IF(D93="","-",+C144+1)</f>
        <v>2053</v>
      </c>
      <c r="D145" s="158">
        <f>IF(F144+SUM(E$99:E144)=D$92,F144,D$92-SUM(E$99:E144))</f>
        <v>3653</v>
      </c>
      <c r="E145" s="165">
        <f>IF(+J96&lt;F144,J96,D145)</f>
        <v>1835</v>
      </c>
      <c r="F145" s="163">
        <f t="shared" si="29"/>
        <v>1818</v>
      </c>
      <c r="G145" s="163">
        <f t="shared" si="30"/>
        <v>2735.5</v>
      </c>
      <c r="H145" s="167">
        <f t="shared" si="27"/>
        <v>2182.0050725657006</v>
      </c>
      <c r="I145" s="317">
        <f t="shared" si="28"/>
        <v>2182.0050725657006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2"/>
        <v/>
      </c>
      <c r="C146" s="157">
        <f>IF(D93="","-",+C145+1)</f>
        <v>2054</v>
      </c>
      <c r="D146" s="158">
        <f>IF(F145+SUM(E$99:E145)=D$92,F145,D$92-SUM(E$99:E145))</f>
        <v>1818</v>
      </c>
      <c r="E146" s="165">
        <f>IF(+J96&lt;F145,J96,D146)</f>
        <v>1818</v>
      </c>
      <c r="F146" s="163">
        <f t="shared" si="29"/>
        <v>0</v>
      </c>
      <c r="G146" s="163">
        <f t="shared" si="30"/>
        <v>909</v>
      </c>
      <c r="H146" s="167">
        <f t="shared" si="27"/>
        <v>1933.3089420443143</v>
      </c>
      <c r="I146" s="317">
        <f t="shared" si="28"/>
        <v>1933.3089420443143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2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27"/>
        <v>0</v>
      </c>
      <c r="I147" s="317">
        <f t="shared" si="28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2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2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2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2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2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2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2"/>
        <v/>
      </c>
      <c r="C154" s="168">
        <f>IF(D93="","-",+C153+1)</f>
        <v>2062</v>
      </c>
      <c r="D154" s="219">
        <f>IF(F153+SUM(E$99:E153)=D$92,F153,D$92-SUM(E$99:E153))</f>
        <v>0</v>
      </c>
      <c r="E154" s="377">
        <f>IF(+J96&lt;F153,J96,D154)</f>
        <v>0</v>
      </c>
      <c r="F154" s="169">
        <f>+D154-E154</f>
        <v>0</v>
      </c>
      <c r="G154" s="169">
        <f>+(F154+D154)/2</f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84424</v>
      </c>
      <c r="F155" s="115"/>
      <c r="G155" s="115"/>
      <c r="H155" s="115">
        <f>SUM(H99:H154)</f>
        <v>353034.00232401333</v>
      </c>
      <c r="I155" s="115">
        <f>SUM(I99:I154)</f>
        <v>353034.00232401333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8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6059.9903761062678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6059.9903761062678</v>
      </c>
      <c r="O6" s="1"/>
      <c r="P6" s="1"/>
    </row>
    <row r="7" spans="1:16" ht="13.5" thickBot="1">
      <c r="C7" s="127" t="s">
        <v>41</v>
      </c>
      <c r="D7" s="343" t="s">
        <v>206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82</v>
      </c>
      <c r="E9" s="428" t="s">
        <v>308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56133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2006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1403.325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2006</v>
      </c>
      <c r="D17" s="366">
        <v>56133</v>
      </c>
      <c r="E17" s="367">
        <v>752</v>
      </c>
      <c r="F17" s="366">
        <v>55381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2007</v>
      </c>
      <c r="D18" s="371">
        <v>55381</v>
      </c>
      <c r="E18" s="368">
        <v>1002</v>
      </c>
      <c r="F18" s="371">
        <v>54379</v>
      </c>
      <c r="G18" s="368">
        <v>0</v>
      </c>
      <c r="H18" s="370">
        <v>0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2008</v>
      </c>
      <c r="D19" s="371">
        <v>54379</v>
      </c>
      <c r="E19" s="368">
        <v>1002</v>
      </c>
      <c r="F19" s="371">
        <v>53377</v>
      </c>
      <c r="G19" s="368">
        <v>0</v>
      </c>
      <c r="H19" s="370">
        <v>0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2009</v>
      </c>
      <c r="D20" s="371">
        <v>53377</v>
      </c>
      <c r="E20" s="368">
        <v>1002</v>
      </c>
      <c r="F20" s="371">
        <v>52375</v>
      </c>
      <c r="G20" s="368">
        <v>0</v>
      </c>
      <c r="H20" s="370">
        <v>0</v>
      </c>
      <c r="I20" s="160">
        <f t="shared" si="0"/>
        <v>0</v>
      </c>
      <c r="J20" s="160"/>
      <c r="K20" s="338">
        <v>0</v>
      </c>
      <c r="L20" s="162">
        <f t="shared" si="1"/>
        <v>0</v>
      </c>
      <c r="M20" s="338">
        <v>0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2010</v>
      </c>
      <c r="D21" s="371">
        <v>52375</v>
      </c>
      <c r="E21" s="368">
        <v>1002.375</v>
      </c>
      <c r="F21" s="371">
        <v>51372.625</v>
      </c>
      <c r="G21" s="368">
        <v>8415.2657154769768</v>
      </c>
      <c r="H21" s="370">
        <v>8415.2657154769768</v>
      </c>
      <c r="I21" s="160">
        <f t="shared" si="0"/>
        <v>0</v>
      </c>
      <c r="J21" s="160"/>
      <c r="K21" s="338">
        <f t="shared" ref="K21:K26" si="5">G21</f>
        <v>8415.2657154769768</v>
      </c>
      <c r="L21" s="272">
        <f t="shared" si="1"/>
        <v>0</v>
      </c>
      <c r="M21" s="338">
        <f t="shared" ref="M21:M26" si="6">H21</f>
        <v>8415.2657154769768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2011</v>
      </c>
      <c r="D22" s="371">
        <v>51372.625</v>
      </c>
      <c r="E22" s="368">
        <v>1100.6470588235295</v>
      </c>
      <c r="F22" s="371">
        <v>50271.977941176468</v>
      </c>
      <c r="G22" s="368">
        <v>8970.3904929935452</v>
      </c>
      <c r="H22" s="370">
        <v>8970.3904929935452</v>
      </c>
      <c r="I22" s="160">
        <f t="shared" si="0"/>
        <v>0</v>
      </c>
      <c r="J22" s="160"/>
      <c r="K22" s="338">
        <f t="shared" si="5"/>
        <v>8970.3904929935452</v>
      </c>
      <c r="L22" s="272">
        <f t="shared" si="1"/>
        <v>0</v>
      </c>
      <c r="M22" s="338">
        <f t="shared" si="6"/>
        <v>8970.3904929935452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2012</v>
      </c>
      <c r="D23" s="371">
        <v>50271.977941176468</v>
      </c>
      <c r="E23" s="368">
        <v>1079.4807692307693</v>
      </c>
      <c r="F23" s="371">
        <v>49192.497171945703</v>
      </c>
      <c r="G23" s="368">
        <v>7927.4076335998161</v>
      </c>
      <c r="H23" s="370">
        <v>7927.4076335998161</v>
      </c>
      <c r="I23" s="160">
        <f t="shared" si="0"/>
        <v>0</v>
      </c>
      <c r="J23" s="160"/>
      <c r="K23" s="338">
        <f t="shared" si="5"/>
        <v>7927.4076335998161</v>
      </c>
      <c r="L23" s="272">
        <f t="shared" si="1"/>
        <v>0</v>
      </c>
      <c r="M23" s="338">
        <f t="shared" si="6"/>
        <v>7927.4076335998161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2013</v>
      </c>
      <c r="D24" s="371">
        <v>49192.497171945703</v>
      </c>
      <c r="E24" s="368">
        <v>1079.4807692307693</v>
      </c>
      <c r="F24" s="371">
        <v>48113.016402714937</v>
      </c>
      <c r="G24" s="368">
        <v>7950.3447729090094</v>
      </c>
      <c r="H24" s="370">
        <v>7950.3447729090094</v>
      </c>
      <c r="I24" s="160">
        <v>0</v>
      </c>
      <c r="J24" s="160"/>
      <c r="K24" s="338">
        <f t="shared" si="5"/>
        <v>7950.3447729090094</v>
      </c>
      <c r="L24" s="272">
        <f t="shared" ref="L24:L29" si="7">IF(K24&lt;&gt;0,+G24-K24,0)</f>
        <v>0</v>
      </c>
      <c r="M24" s="338">
        <f t="shared" si="6"/>
        <v>7950.3447729090094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4"/>
        <v/>
      </c>
      <c r="C25" s="157">
        <f>IF(D11="","-",+C24+1)</f>
        <v>2014</v>
      </c>
      <c r="D25" s="371">
        <v>48113.016402714937</v>
      </c>
      <c r="E25" s="368">
        <v>1079.4807692307693</v>
      </c>
      <c r="F25" s="371">
        <v>47033.535633484171</v>
      </c>
      <c r="G25" s="368">
        <v>7554.0593246775043</v>
      </c>
      <c r="H25" s="370">
        <v>7554.0593246775043</v>
      </c>
      <c r="I25" s="160">
        <v>0</v>
      </c>
      <c r="J25" s="160"/>
      <c r="K25" s="338">
        <f t="shared" si="5"/>
        <v>7554.0593246775043</v>
      </c>
      <c r="L25" s="272">
        <f t="shared" si="7"/>
        <v>0</v>
      </c>
      <c r="M25" s="338">
        <f t="shared" si="6"/>
        <v>7554.0593246775043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2015</v>
      </c>
      <c r="D26" s="371">
        <v>47033.535633484171</v>
      </c>
      <c r="E26" s="368">
        <v>1079.4807692307693</v>
      </c>
      <c r="F26" s="371">
        <v>45954.054864253405</v>
      </c>
      <c r="G26" s="368">
        <v>7415.24244849963</v>
      </c>
      <c r="H26" s="370">
        <v>7415.24244849963</v>
      </c>
      <c r="I26" s="160">
        <v>0</v>
      </c>
      <c r="J26" s="160"/>
      <c r="K26" s="338">
        <f t="shared" si="5"/>
        <v>7415.24244849963</v>
      </c>
      <c r="L26" s="272">
        <f t="shared" si="7"/>
        <v>0</v>
      </c>
      <c r="M26" s="338">
        <f t="shared" si="6"/>
        <v>7415.24244849963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2016</v>
      </c>
      <c r="D27" s="371">
        <v>45954.054864253405</v>
      </c>
      <c r="E27" s="368">
        <v>1079.4807692307693</v>
      </c>
      <c r="F27" s="371">
        <v>44874.574095022639</v>
      </c>
      <c r="G27" s="368">
        <v>6965.2134846377958</v>
      </c>
      <c r="H27" s="370">
        <v>6965.2134846377958</v>
      </c>
      <c r="I27" s="160">
        <f t="shared" si="0"/>
        <v>0</v>
      </c>
      <c r="J27" s="160"/>
      <c r="K27" s="338">
        <f>G27</f>
        <v>6965.2134846377958</v>
      </c>
      <c r="L27" s="272">
        <f t="shared" si="7"/>
        <v>0</v>
      </c>
      <c r="M27" s="338">
        <f>H27</f>
        <v>6965.2134846377958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2017</v>
      </c>
      <c r="D28" s="371">
        <v>44874.574095022639</v>
      </c>
      <c r="E28" s="368">
        <v>1220.2826086956522</v>
      </c>
      <c r="F28" s="371">
        <v>43654.291486326983</v>
      </c>
      <c r="G28" s="368">
        <v>6775.7563236207252</v>
      </c>
      <c r="H28" s="370">
        <v>6775.7563236207252</v>
      </c>
      <c r="I28" s="160">
        <v>0</v>
      </c>
      <c r="J28" s="160"/>
      <c r="K28" s="338">
        <f>G28</f>
        <v>6775.7563236207252</v>
      </c>
      <c r="L28" s="272">
        <f t="shared" si="7"/>
        <v>0</v>
      </c>
      <c r="M28" s="338">
        <f>H28</f>
        <v>6775.7563236207252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2018</v>
      </c>
      <c r="D29" s="371">
        <v>43654.291486326983</v>
      </c>
      <c r="E29" s="368">
        <v>1247.4000000000001</v>
      </c>
      <c r="F29" s="371">
        <v>42406.891486326982</v>
      </c>
      <c r="G29" s="368">
        <v>6400.6980544313355</v>
      </c>
      <c r="H29" s="370">
        <v>6400.6980544313355</v>
      </c>
      <c r="I29" s="160">
        <f t="shared" si="0"/>
        <v>0</v>
      </c>
      <c r="J29" s="160"/>
      <c r="K29" s="338">
        <f>G29</f>
        <v>6400.6980544313355</v>
      </c>
      <c r="L29" s="272">
        <f t="shared" si="7"/>
        <v>0</v>
      </c>
      <c r="M29" s="338">
        <f>H29</f>
        <v>6400.6980544313355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4"/>
        <v/>
      </c>
      <c r="C30" s="157">
        <f>IF(D11="","-",+C29+1)</f>
        <v>2019</v>
      </c>
      <c r="D30" s="163">
        <f>IF(F29+SUM(E$17:E29)=D$10,F29,D$10-SUM(E$17:E29))</f>
        <v>42406.891486326982</v>
      </c>
      <c r="E30" s="164">
        <f>IF(+I14&lt;F29,I14,D30)</f>
        <v>1403.325</v>
      </c>
      <c r="F30" s="163">
        <f t="shared" ref="F30:F48" si="10">+D30-E30</f>
        <v>41003.566486326985</v>
      </c>
      <c r="G30" s="165">
        <f t="shared" ref="G30:G72" si="11">(D30+F30)/2*I$12+E30</f>
        <v>6059.9903761062678</v>
      </c>
      <c r="H30" s="147">
        <f t="shared" ref="H30:H72" si="12">+(D30+F30)/2*I$13+E30</f>
        <v>6059.9903761062678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2020</v>
      </c>
      <c r="D31" s="163">
        <f>IF(F30+SUM(E$17:E30)=D$10,F30,D$10-SUM(E$17:E30))</f>
        <v>41003.566486326985</v>
      </c>
      <c r="E31" s="164">
        <f>IF(+I14&lt;F30,I14,D31)</f>
        <v>1403.325</v>
      </c>
      <c r="F31" s="163">
        <f t="shared" si="10"/>
        <v>39600.241486326988</v>
      </c>
      <c r="G31" s="165">
        <f t="shared" si="11"/>
        <v>5903.2998339906317</v>
      </c>
      <c r="H31" s="147">
        <f t="shared" si="12"/>
        <v>5903.2998339906317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2021</v>
      </c>
      <c r="D32" s="163">
        <f>IF(F31+SUM(E$17:E31)=D$10,F31,D$10-SUM(E$17:E31))</f>
        <v>39600.241486326988</v>
      </c>
      <c r="E32" s="164">
        <f>IF(+I14&lt;F31,I14,D32)</f>
        <v>1403.325</v>
      </c>
      <c r="F32" s="163">
        <f t="shared" si="10"/>
        <v>38196.916486326991</v>
      </c>
      <c r="G32" s="165">
        <f t="shared" si="11"/>
        <v>5746.6092918749955</v>
      </c>
      <c r="H32" s="147">
        <f t="shared" si="12"/>
        <v>5746.6092918749955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2022</v>
      </c>
      <c r="D33" s="163">
        <f>IF(F32+SUM(E$17:E32)=D$10,F32,D$10-SUM(E$17:E32))</f>
        <v>38196.916486326991</v>
      </c>
      <c r="E33" s="164">
        <f>IF(+I14&lt;F32,I14,D33)</f>
        <v>1403.325</v>
      </c>
      <c r="F33" s="163">
        <f t="shared" si="10"/>
        <v>36793.591486326994</v>
      </c>
      <c r="G33" s="165">
        <f t="shared" si="11"/>
        <v>5589.9187497593593</v>
      </c>
      <c r="H33" s="147">
        <f t="shared" si="12"/>
        <v>5589.9187497593593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2023</v>
      </c>
      <c r="D34" s="163">
        <f>IF(F33+SUM(E$17:E33)=D$10,F33,D$10-SUM(E$17:E33))</f>
        <v>36793.591486326994</v>
      </c>
      <c r="E34" s="164">
        <f>IF(+I14&lt;F33,I14,D34)</f>
        <v>1403.325</v>
      </c>
      <c r="F34" s="163">
        <f t="shared" si="10"/>
        <v>35390.266486326997</v>
      </c>
      <c r="G34" s="165">
        <f t="shared" si="11"/>
        <v>5433.2282076437232</v>
      </c>
      <c r="H34" s="147">
        <f t="shared" si="12"/>
        <v>5433.2282076437232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2024</v>
      </c>
      <c r="D35" s="163">
        <f>IF(F34+SUM(E$17:E34)=D$10,F34,D$10-SUM(E$17:E34))</f>
        <v>35390.266486326997</v>
      </c>
      <c r="E35" s="164">
        <f>IF(+I14&lt;F34,I14,D35)</f>
        <v>1403.325</v>
      </c>
      <c r="F35" s="163">
        <f t="shared" si="10"/>
        <v>33986.941486326999</v>
      </c>
      <c r="G35" s="165">
        <f t="shared" si="11"/>
        <v>5276.5376655280879</v>
      </c>
      <c r="H35" s="147">
        <f t="shared" si="12"/>
        <v>5276.5376655280879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2025</v>
      </c>
      <c r="D36" s="163">
        <f>IF(F35+SUM(E$17:E35)=D$10,F35,D$10-SUM(E$17:E35))</f>
        <v>33986.941486326999</v>
      </c>
      <c r="E36" s="164">
        <f>IF(+I14&lt;F35,I14,D36)</f>
        <v>1403.325</v>
      </c>
      <c r="F36" s="163">
        <f t="shared" si="10"/>
        <v>32583.616486326999</v>
      </c>
      <c r="G36" s="165">
        <f t="shared" si="11"/>
        <v>5119.8471234124518</v>
      </c>
      <c r="H36" s="147">
        <f t="shared" si="12"/>
        <v>5119.8471234124518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2026</v>
      </c>
      <c r="D37" s="163">
        <f>IF(F36+SUM(E$17:E36)=D$10,F36,D$10-SUM(E$17:E36))</f>
        <v>32583.616486326999</v>
      </c>
      <c r="E37" s="164">
        <f>IF(+I14&lt;F36,I14,D37)</f>
        <v>1403.325</v>
      </c>
      <c r="F37" s="163">
        <f t="shared" si="10"/>
        <v>31180.291486326998</v>
      </c>
      <c r="G37" s="165">
        <f t="shared" si="11"/>
        <v>4963.1565812968147</v>
      </c>
      <c r="H37" s="147">
        <f t="shared" si="12"/>
        <v>4963.1565812968147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387" t="str">
        <f t="shared" si="4"/>
        <v/>
      </c>
      <c r="C38" s="157">
        <f>IF(D11="","-",+C37+1)</f>
        <v>2027</v>
      </c>
      <c r="D38" s="163">
        <f>IF(F37+SUM(E$17:E37)=D$10,F37,D$10-SUM(E$17:E37))</f>
        <v>31180.291486326998</v>
      </c>
      <c r="E38" s="164">
        <f>IF(+I14&lt;F37,I14,D38)</f>
        <v>1403.325</v>
      </c>
      <c r="F38" s="163">
        <f t="shared" si="10"/>
        <v>29776.966486326997</v>
      </c>
      <c r="G38" s="165">
        <f t="shared" si="11"/>
        <v>4806.4660391811785</v>
      </c>
      <c r="H38" s="147">
        <f t="shared" si="12"/>
        <v>4806.4660391811785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2028</v>
      </c>
      <c r="D39" s="163">
        <f>IF(F38+SUM(E$17:E38)=D$10,F38,D$10-SUM(E$17:E38))</f>
        <v>29776.966486326997</v>
      </c>
      <c r="E39" s="164">
        <f>IF(+I14&lt;F38,I14,D39)</f>
        <v>1403.325</v>
      </c>
      <c r="F39" s="163">
        <f t="shared" si="10"/>
        <v>28373.641486326997</v>
      </c>
      <c r="G39" s="165">
        <f t="shared" si="11"/>
        <v>4649.7754970655415</v>
      </c>
      <c r="H39" s="147">
        <f t="shared" si="12"/>
        <v>4649.7754970655415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2029</v>
      </c>
      <c r="D40" s="163">
        <f>IF(F39+SUM(E$17:E39)=D$10,F39,D$10-SUM(E$17:E39))</f>
        <v>28373.641486326997</v>
      </c>
      <c r="E40" s="164">
        <f>IF(+I14&lt;F39,I14,D40)</f>
        <v>1403.325</v>
      </c>
      <c r="F40" s="163">
        <f t="shared" si="10"/>
        <v>26970.316486326996</v>
      </c>
      <c r="G40" s="165">
        <f t="shared" si="11"/>
        <v>4493.0849549499053</v>
      </c>
      <c r="H40" s="147">
        <f t="shared" si="12"/>
        <v>4493.0849549499053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2030</v>
      </c>
      <c r="D41" s="163">
        <f>IF(F40+SUM(E$17:E40)=D$10,F40,D$10-SUM(E$17:E40))</f>
        <v>26970.316486326996</v>
      </c>
      <c r="E41" s="164">
        <f>IF(+I14&lt;F40,I14,D41)</f>
        <v>1403.325</v>
      </c>
      <c r="F41" s="163">
        <f t="shared" si="10"/>
        <v>25566.991486326995</v>
      </c>
      <c r="G41" s="165">
        <f t="shared" si="11"/>
        <v>4336.3944128342682</v>
      </c>
      <c r="H41" s="147">
        <f t="shared" si="12"/>
        <v>4336.3944128342682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2031</v>
      </c>
      <c r="D42" s="163">
        <f>IF(F41+SUM(E$17:E41)=D$10,F41,D$10-SUM(E$17:E41))</f>
        <v>25566.991486326995</v>
      </c>
      <c r="E42" s="164">
        <f>IF(+I14&lt;F41,I14,D42)</f>
        <v>1403.325</v>
      </c>
      <c r="F42" s="163">
        <f t="shared" si="10"/>
        <v>24163.666486326994</v>
      </c>
      <c r="G42" s="165">
        <f t="shared" si="11"/>
        <v>4179.703870718633</v>
      </c>
      <c r="H42" s="147">
        <f t="shared" si="12"/>
        <v>4179.703870718633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2032</v>
      </c>
      <c r="D43" s="163">
        <f>IF(F42+SUM(E$17:E42)=D$10,F42,D$10-SUM(E$17:E42))</f>
        <v>24163.666486326994</v>
      </c>
      <c r="E43" s="164">
        <f>IF(+I14&lt;F42,I14,D43)</f>
        <v>1403.325</v>
      </c>
      <c r="F43" s="163">
        <f t="shared" si="10"/>
        <v>22760.341486326994</v>
      </c>
      <c r="G43" s="165">
        <f t="shared" si="11"/>
        <v>4023.0133286029959</v>
      </c>
      <c r="H43" s="147">
        <f t="shared" si="12"/>
        <v>4023.0133286029959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2033</v>
      </c>
      <c r="D44" s="163">
        <f>IF(F43+SUM(E$17:E43)=D$10,F43,D$10-SUM(E$17:E43))</f>
        <v>22760.341486326994</v>
      </c>
      <c r="E44" s="164">
        <f>IF(+I14&lt;F43,I14,D44)</f>
        <v>1403.325</v>
      </c>
      <c r="F44" s="163">
        <f t="shared" si="10"/>
        <v>21357.016486326993</v>
      </c>
      <c r="G44" s="165">
        <f t="shared" si="11"/>
        <v>3866.3227864873597</v>
      </c>
      <c r="H44" s="147">
        <f t="shared" si="12"/>
        <v>3866.3227864873597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2034</v>
      </c>
      <c r="D45" s="163">
        <f>IF(F44+SUM(E$17:E44)=D$10,F44,D$10-SUM(E$17:E44))</f>
        <v>21357.016486326993</v>
      </c>
      <c r="E45" s="164">
        <f>IF(+I14&lt;F44,I14,D45)</f>
        <v>1403.325</v>
      </c>
      <c r="F45" s="163">
        <f t="shared" si="10"/>
        <v>19953.691486326992</v>
      </c>
      <c r="G45" s="165">
        <f t="shared" si="11"/>
        <v>3709.6322443717227</v>
      </c>
      <c r="H45" s="147">
        <f t="shared" si="12"/>
        <v>3709.6322443717227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2035</v>
      </c>
      <c r="D46" s="163">
        <f>IF(F45+SUM(E$17:E45)=D$10,F45,D$10-SUM(E$17:E45))</f>
        <v>19953.691486326992</v>
      </c>
      <c r="E46" s="164">
        <f>IF(+I14&lt;F45,I14,D46)</f>
        <v>1403.325</v>
      </c>
      <c r="F46" s="163">
        <f t="shared" si="10"/>
        <v>18550.366486326991</v>
      </c>
      <c r="G46" s="165">
        <f t="shared" si="11"/>
        <v>3552.9417022560865</v>
      </c>
      <c r="H46" s="147">
        <f t="shared" si="12"/>
        <v>3552.9417022560865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2036</v>
      </c>
      <c r="D47" s="163">
        <f>IF(F46+SUM(E$17:E46)=D$10,F46,D$10-SUM(E$17:E46))</f>
        <v>18550.366486326991</v>
      </c>
      <c r="E47" s="164">
        <f>IF(+I14&lt;F46,I14,D47)</f>
        <v>1403.325</v>
      </c>
      <c r="F47" s="163">
        <f t="shared" si="10"/>
        <v>17147.041486326991</v>
      </c>
      <c r="G47" s="165">
        <f t="shared" si="11"/>
        <v>3396.2511601404494</v>
      </c>
      <c r="H47" s="147">
        <f t="shared" si="12"/>
        <v>3396.2511601404494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2037</v>
      </c>
      <c r="D48" s="163">
        <f>IF(F47+SUM(E$17:E47)=D$10,F47,D$10-SUM(E$17:E47))</f>
        <v>17147.041486326991</v>
      </c>
      <c r="E48" s="164">
        <f>IF(+I14&lt;F47,I14,D48)</f>
        <v>1403.325</v>
      </c>
      <c r="F48" s="163">
        <f t="shared" si="10"/>
        <v>15743.71648632699</v>
      </c>
      <c r="G48" s="165">
        <f t="shared" si="11"/>
        <v>3239.5606180248137</v>
      </c>
      <c r="H48" s="147">
        <f t="shared" si="12"/>
        <v>3239.5606180248137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2038</v>
      </c>
      <c r="D49" s="163">
        <f>IF(F48+SUM(E$17:E48)=D$10,F48,D$10-SUM(E$17:E48))</f>
        <v>15743.71648632699</v>
      </c>
      <c r="E49" s="164">
        <f>IF(+I14&lt;F48,I14,D49)</f>
        <v>1403.325</v>
      </c>
      <c r="F49" s="163">
        <f t="shared" ref="F49:F72" si="13">+D49-E49</f>
        <v>14340.391486326989</v>
      </c>
      <c r="G49" s="165">
        <f t="shared" si="11"/>
        <v>3082.8700759091771</v>
      </c>
      <c r="H49" s="147">
        <f t="shared" si="12"/>
        <v>3082.8700759091771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2039</v>
      </c>
      <c r="D50" s="163">
        <f>IF(F49+SUM(E$17:E49)=D$10,F49,D$10-SUM(E$17:E49))</f>
        <v>14340.391486326989</v>
      </c>
      <c r="E50" s="164">
        <f>IF(+I14&lt;F49,I14,D50)</f>
        <v>1403.325</v>
      </c>
      <c r="F50" s="163">
        <f t="shared" si="13"/>
        <v>12937.066486326989</v>
      </c>
      <c r="G50" s="165">
        <f t="shared" si="11"/>
        <v>2926.1795337935405</v>
      </c>
      <c r="H50" s="147">
        <f t="shared" si="12"/>
        <v>2926.1795337935405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2040</v>
      </c>
      <c r="D51" s="163">
        <f>IF(F50+SUM(E$17:E50)=D$10,F50,D$10-SUM(E$17:E50))</f>
        <v>12937.066486326989</v>
      </c>
      <c r="E51" s="164">
        <f>IF(+I14&lt;F50,I14,D51)</f>
        <v>1403.325</v>
      </c>
      <c r="F51" s="163">
        <f t="shared" si="13"/>
        <v>11533.741486326988</v>
      </c>
      <c r="G51" s="165">
        <f t="shared" si="11"/>
        <v>2769.4889916779039</v>
      </c>
      <c r="H51" s="147">
        <f t="shared" si="12"/>
        <v>2769.4889916779039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2041</v>
      </c>
      <c r="D52" s="163">
        <f>IF(F51+SUM(E$17:E51)=D$10,F51,D$10-SUM(E$17:E51))</f>
        <v>11533.741486326988</v>
      </c>
      <c r="E52" s="164">
        <f>IF(+I14&lt;F51,I14,D52)</f>
        <v>1403.325</v>
      </c>
      <c r="F52" s="163">
        <f t="shared" si="13"/>
        <v>10130.416486326987</v>
      </c>
      <c r="G52" s="165">
        <f t="shared" si="11"/>
        <v>2612.7984495622677</v>
      </c>
      <c r="H52" s="147">
        <f t="shared" si="12"/>
        <v>2612.7984495622677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2042</v>
      </c>
      <c r="D53" s="163">
        <f>IF(F52+SUM(E$17:E52)=D$10,F52,D$10-SUM(E$17:E52))</f>
        <v>10130.416486326987</v>
      </c>
      <c r="E53" s="164">
        <f>IF(+I14&lt;F52,I14,D53)</f>
        <v>1403.325</v>
      </c>
      <c r="F53" s="163">
        <f t="shared" si="13"/>
        <v>8727.0914863269863</v>
      </c>
      <c r="G53" s="165">
        <f t="shared" si="11"/>
        <v>2456.1079074466311</v>
      </c>
      <c r="H53" s="147">
        <f t="shared" si="12"/>
        <v>2456.1079074466311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2043</v>
      </c>
      <c r="D54" s="163">
        <f>IF(F53+SUM(E$17:E53)=D$10,F53,D$10-SUM(E$17:E53))</f>
        <v>8727.0914863269863</v>
      </c>
      <c r="E54" s="164">
        <f>IF(+I14&lt;F53,I14,D54)</f>
        <v>1403.325</v>
      </c>
      <c r="F54" s="163">
        <f t="shared" si="13"/>
        <v>7323.7664863269865</v>
      </c>
      <c r="G54" s="165">
        <f t="shared" si="11"/>
        <v>2299.4173653309945</v>
      </c>
      <c r="H54" s="147">
        <f t="shared" si="12"/>
        <v>2299.4173653309945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2044</v>
      </c>
      <c r="D55" s="163">
        <f>IF(F54+SUM(E$17:E54)=D$10,F54,D$10-SUM(E$17:E54))</f>
        <v>7323.7664863269865</v>
      </c>
      <c r="E55" s="164">
        <f>IF(+I14&lt;F54,I14,D55)</f>
        <v>1403.325</v>
      </c>
      <c r="F55" s="163">
        <f t="shared" si="13"/>
        <v>5920.4414863269867</v>
      </c>
      <c r="G55" s="165">
        <f t="shared" si="11"/>
        <v>2142.7268232153583</v>
      </c>
      <c r="H55" s="147">
        <f t="shared" si="12"/>
        <v>2142.7268232153583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2045</v>
      </c>
      <c r="D56" s="163">
        <f>IF(F55+SUM(E$17:E55)=D$10,F55,D$10-SUM(E$17:E55))</f>
        <v>5920.4414863269867</v>
      </c>
      <c r="E56" s="164">
        <f>IF(+I14&lt;F55,I14,D56)</f>
        <v>1403.325</v>
      </c>
      <c r="F56" s="163">
        <f t="shared" si="13"/>
        <v>4517.1164863269869</v>
      </c>
      <c r="G56" s="165">
        <f t="shared" si="11"/>
        <v>1986.0362810997217</v>
      </c>
      <c r="H56" s="147">
        <f t="shared" si="12"/>
        <v>1986.0362810997217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2046</v>
      </c>
      <c r="D57" s="163">
        <f>IF(F56+SUM(E$17:E56)=D$10,F56,D$10-SUM(E$17:E56))</f>
        <v>4517.1164863269869</v>
      </c>
      <c r="E57" s="164">
        <f>IF(+I14&lt;F56,I14,D57)</f>
        <v>1403.325</v>
      </c>
      <c r="F57" s="163">
        <f t="shared" si="13"/>
        <v>3113.7914863269871</v>
      </c>
      <c r="G57" s="165">
        <f t="shared" si="11"/>
        <v>1829.3457389840855</v>
      </c>
      <c r="H57" s="147">
        <f t="shared" si="12"/>
        <v>1829.3457389840855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2047</v>
      </c>
      <c r="D58" s="163">
        <f>IF(F57+SUM(E$17:E57)=D$10,F57,D$10-SUM(E$17:E57))</f>
        <v>3113.7914863269871</v>
      </c>
      <c r="E58" s="164">
        <f>IF(+I14&lt;F57,I14,D58)</f>
        <v>1403.325</v>
      </c>
      <c r="F58" s="163">
        <f t="shared" si="13"/>
        <v>1710.466486326987</v>
      </c>
      <c r="G58" s="165">
        <f t="shared" si="11"/>
        <v>1672.6551968684489</v>
      </c>
      <c r="H58" s="147">
        <f t="shared" si="12"/>
        <v>1672.6551968684489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2048</v>
      </c>
      <c r="D59" s="163">
        <f>IF(F58+SUM(E$17:E58)=D$10,F58,D$10-SUM(E$17:E58))</f>
        <v>1710.466486326987</v>
      </c>
      <c r="E59" s="164">
        <f>IF(+I14&lt;F58,I14,D59)</f>
        <v>1403.325</v>
      </c>
      <c r="F59" s="163">
        <f t="shared" si="13"/>
        <v>307.14148632698698</v>
      </c>
      <c r="G59" s="165">
        <f t="shared" si="11"/>
        <v>1515.9646547528125</v>
      </c>
      <c r="H59" s="147">
        <f t="shared" si="12"/>
        <v>1515.9646547528125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2049</v>
      </c>
      <c r="D60" s="163">
        <f>IF(F59+SUM(E$17:E59)=D$10,F59,D$10-SUM(E$17:E59))</f>
        <v>307.14148632698698</v>
      </c>
      <c r="E60" s="164">
        <f>IF(+I14&lt;F59,I14,D60)</f>
        <v>307.14148632698698</v>
      </c>
      <c r="F60" s="163">
        <f t="shared" si="13"/>
        <v>0</v>
      </c>
      <c r="G60" s="165">
        <f t="shared" si="11"/>
        <v>324.28867817448412</v>
      </c>
      <c r="H60" s="147">
        <f t="shared" si="12"/>
        <v>324.28867817448412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2050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2051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387" t="str">
        <f t="shared" si="4"/>
        <v/>
      </c>
      <c r="C63" s="157">
        <f>IF(D11="","-",+C62+1)</f>
        <v>2052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56132.999999999978</v>
      </c>
      <c r="F73" s="115"/>
      <c r="G73" s="115">
        <f>SUM(G17:G72)</f>
        <v>182337.99239190709</v>
      </c>
      <c r="H73" s="115">
        <f>SUM(H17:H72)</f>
        <v>182337.99239190709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8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6775.7563236207252</v>
      </c>
      <c r="N87" s="202">
        <f>IF(J92&lt;D11,0,VLOOKUP(J92,C17:O72,11))</f>
        <v>6775.7563236207252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6888.6586283105316</v>
      </c>
      <c r="N88" s="204">
        <f>IF(J92&lt;D11,0,VLOOKUP(J92,C99:P154,7))</f>
        <v>6888.6586283105316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Weleetka &amp; Okmulgee Wavetrap replacement 81-805*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112.90230468980644</v>
      </c>
      <c r="N89" s="207">
        <f>+N88-N87</f>
        <v>112.90230468980644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TP2005046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56133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2006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1220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2006</v>
      </c>
      <c r="D99" s="366">
        <v>0</v>
      </c>
      <c r="E99" s="368">
        <v>0</v>
      </c>
      <c r="F99" s="371">
        <v>56133</v>
      </c>
      <c r="G99" s="373">
        <v>28067</v>
      </c>
      <c r="H99" s="374">
        <v>0</v>
      </c>
      <c r="I99" s="375">
        <v>0</v>
      </c>
      <c r="J99" s="162">
        <f t="shared" ref="J99:J130" si="18">+I99-H99</f>
        <v>0</v>
      </c>
      <c r="K99" s="162"/>
      <c r="L99" s="337">
        <v>0</v>
      </c>
      <c r="M99" s="161">
        <f t="shared" ref="M99:M130" si="19">IF(L99&lt;&gt;0,+H99-L99,0)</f>
        <v>0</v>
      </c>
      <c r="N99" s="337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2007</v>
      </c>
      <c r="D100" s="366">
        <v>56133</v>
      </c>
      <c r="E100" s="368">
        <v>1059</v>
      </c>
      <c r="F100" s="371">
        <v>55074</v>
      </c>
      <c r="G100" s="371">
        <v>55603</v>
      </c>
      <c r="H100" s="368">
        <v>0</v>
      </c>
      <c r="I100" s="370">
        <v>0</v>
      </c>
      <c r="J100" s="162">
        <f t="shared" si="18"/>
        <v>0</v>
      </c>
      <c r="K100" s="162"/>
      <c r="L100" s="338">
        <v>0</v>
      </c>
      <c r="M100" s="162">
        <f t="shared" si="19"/>
        <v>0</v>
      </c>
      <c r="N100" s="338">
        <v>0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2008</v>
      </c>
      <c r="D101" s="366">
        <v>55074</v>
      </c>
      <c r="E101" s="368">
        <v>1059</v>
      </c>
      <c r="F101" s="371">
        <v>54015</v>
      </c>
      <c r="G101" s="371">
        <v>54544</v>
      </c>
      <c r="H101" s="368">
        <v>9723</v>
      </c>
      <c r="I101" s="370">
        <v>9723</v>
      </c>
      <c r="J101" s="162">
        <f t="shared" si="18"/>
        <v>0</v>
      </c>
      <c r="K101" s="162"/>
      <c r="L101" s="338">
        <v>9723</v>
      </c>
      <c r="M101" s="162">
        <f t="shared" si="19"/>
        <v>0</v>
      </c>
      <c r="N101" s="338">
        <v>9723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2009</v>
      </c>
      <c r="D102" s="366">
        <v>54015</v>
      </c>
      <c r="E102" s="368">
        <v>1002</v>
      </c>
      <c r="F102" s="371">
        <v>53013</v>
      </c>
      <c r="G102" s="371">
        <v>53514</v>
      </c>
      <c r="H102" s="368">
        <v>8826.1899911613018</v>
      </c>
      <c r="I102" s="370">
        <v>8826.1899911613018</v>
      </c>
      <c r="J102" s="162">
        <f t="shared" si="18"/>
        <v>0</v>
      </c>
      <c r="K102" s="162"/>
      <c r="L102" s="380">
        <f t="shared" ref="L102:L107" si="23">H102</f>
        <v>8826.1899911613018</v>
      </c>
      <c r="M102" s="381">
        <f t="shared" si="19"/>
        <v>0</v>
      </c>
      <c r="N102" s="380">
        <f t="shared" ref="N102:N107" si="24">I102</f>
        <v>8826.1899911613018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2010</v>
      </c>
      <c r="D103" s="366">
        <v>53013</v>
      </c>
      <c r="E103" s="368">
        <v>1101</v>
      </c>
      <c r="F103" s="371">
        <v>51912</v>
      </c>
      <c r="G103" s="371">
        <v>52462.5</v>
      </c>
      <c r="H103" s="368">
        <v>9537.7685710444202</v>
      </c>
      <c r="I103" s="370">
        <v>9537.7685710444202</v>
      </c>
      <c r="J103" s="162">
        <f t="shared" si="18"/>
        <v>0</v>
      </c>
      <c r="K103" s="162"/>
      <c r="L103" s="380">
        <f t="shared" si="23"/>
        <v>9537.7685710444202</v>
      </c>
      <c r="M103" s="381">
        <f t="shared" si="19"/>
        <v>0</v>
      </c>
      <c r="N103" s="380">
        <f t="shared" si="24"/>
        <v>9537.7685710444202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2011</v>
      </c>
      <c r="D104" s="366">
        <v>51912</v>
      </c>
      <c r="E104" s="368">
        <v>1079</v>
      </c>
      <c r="F104" s="371">
        <v>50833</v>
      </c>
      <c r="G104" s="371">
        <v>51372.5</v>
      </c>
      <c r="H104" s="368">
        <v>8261.5658402233203</v>
      </c>
      <c r="I104" s="370">
        <v>8261.5658402233203</v>
      </c>
      <c r="J104" s="162">
        <f t="shared" si="18"/>
        <v>0</v>
      </c>
      <c r="K104" s="162"/>
      <c r="L104" s="380">
        <f t="shared" si="23"/>
        <v>8261.5658402233203</v>
      </c>
      <c r="M104" s="381">
        <f t="shared" si="19"/>
        <v>0</v>
      </c>
      <c r="N104" s="380">
        <f t="shared" si="24"/>
        <v>8261.5658402233203</v>
      </c>
      <c r="O104" s="162">
        <f t="shared" si="20"/>
        <v>0</v>
      </c>
      <c r="P104" s="162">
        <f t="shared" si="21"/>
        <v>0</v>
      </c>
    </row>
    <row r="105" spans="1:16">
      <c r="B105" s="9" t="str">
        <f t="shared" si="22"/>
        <v/>
      </c>
      <c r="C105" s="157">
        <f>IF(D93="","-",+C104+1)</f>
        <v>2012</v>
      </c>
      <c r="D105" s="366">
        <v>50833</v>
      </c>
      <c r="E105" s="368">
        <v>1079</v>
      </c>
      <c r="F105" s="371">
        <v>49754</v>
      </c>
      <c r="G105" s="371">
        <v>50293.5</v>
      </c>
      <c r="H105" s="368">
        <v>8313.995673781943</v>
      </c>
      <c r="I105" s="370">
        <v>8313.995673781943</v>
      </c>
      <c r="J105" s="162">
        <v>0</v>
      </c>
      <c r="K105" s="162"/>
      <c r="L105" s="380">
        <f t="shared" si="23"/>
        <v>8313.995673781943</v>
      </c>
      <c r="M105" s="381">
        <f>IF(L105&lt;&gt;0,+H105-L105,0)</f>
        <v>0</v>
      </c>
      <c r="N105" s="380">
        <f t="shared" si="24"/>
        <v>8313.995673781943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2"/>
        <v/>
      </c>
      <c r="C106" s="157">
        <f>IF(D93="","-",+C105+1)</f>
        <v>2013</v>
      </c>
      <c r="D106" s="366">
        <v>49754</v>
      </c>
      <c r="E106" s="368">
        <v>1079</v>
      </c>
      <c r="F106" s="371">
        <v>48675</v>
      </c>
      <c r="G106" s="371">
        <v>49214.5</v>
      </c>
      <c r="H106" s="368">
        <v>8162.9151459393179</v>
      </c>
      <c r="I106" s="370">
        <v>8162.9151459393179</v>
      </c>
      <c r="J106" s="162">
        <v>0</v>
      </c>
      <c r="K106" s="162"/>
      <c r="L106" s="380">
        <f t="shared" si="23"/>
        <v>8162.9151459393179</v>
      </c>
      <c r="M106" s="381">
        <f>IF(L106&lt;&gt;0,+H106-L106,0)</f>
        <v>0</v>
      </c>
      <c r="N106" s="380">
        <f t="shared" si="24"/>
        <v>8162.9151459393179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2"/>
        <v/>
      </c>
      <c r="C107" s="157">
        <f>IF(D93="","-",+C106+1)</f>
        <v>2014</v>
      </c>
      <c r="D107" s="366">
        <v>48675</v>
      </c>
      <c r="E107" s="368">
        <v>1079</v>
      </c>
      <c r="F107" s="371">
        <v>47596</v>
      </c>
      <c r="G107" s="371">
        <v>48135.5</v>
      </c>
      <c r="H107" s="368">
        <v>7846.6545337569178</v>
      </c>
      <c r="I107" s="370">
        <v>7846.6545337569178</v>
      </c>
      <c r="J107" s="162">
        <v>0</v>
      </c>
      <c r="K107" s="162"/>
      <c r="L107" s="380">
        <f t="shared" si="23"/>
        <v>7846.6545337569178</v>
      </c>
      <c r="M107" s="381">
        <f>IF(L107&lt;&gt;0,+H107-L107,0)</f>
        <v>0</v>
      </c>
      <c r="N107" s="380">
        <f t="shared" si="24"/>
        <v>7846.6545337569178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2"/>
        <v/>
      </c>
      <c r="C108" s="157">
        <f>IF(D93="","-",+C107+1)</f>
        <v>2015</v>
      </c>
      <c r="D108" s="366">
        <v>47596</v>
      </c>
      <c r="E108" s="368">
        <v>1079</v>
      </c>
      <c r="F108" s="371">
        <v>46517</v>
      </c>
      <c r="G108" s="371">
        <v>47056.5</v>
      </c>
      <c r="H108" s="368">
        <v>7499.4810720950254</v>
      </c>
      <c r="I108" s="370">
        <v>7499.4810720950254</v>
      </c>
      <c r="J108" s="162">
        <f t="shared" si="18"/>
        <v>0</v>
      </c>
      <c r="K108" s="162"/>
      <c r="L108" s="380">
        <f>H108</f>
        <v>7499.4810720950254</v>
      </c>
      <c r="M108" s="381">
        <f>IF(L108&lt;&gt;0,+H108-L108,0)</f>
        <v>0</v>
      </c>
      <c r="N108" s="380">
        <f>I108</f>
        <v>7499.4810720950254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22"/>
        <v/>
      </c>
      <c r="C109" s="157">
        <f>IF(D93="","-",+C108+1)</f>
        <v>2016</v>
      </c>
      <c r="D109" s="366">
        <v>46517</v>
      </c>
      <c r="E109" s="368">
        <v>1220</v>
      </c>
      <c r="F109" s="371">
        <v>45297</v>
      </c>
      <c r="G109" s="371">
        <v>45907</v>
      </c>
      <c r="H109" s="368">
        <v>7138.135283574793</v>
      </c>
      <c r="I109" s="370">
        <v>7138.135283574793</v>
      </c>
      <c r="J109" s="162">
        <v>0</v>
      </c>
      <c r="K109" s="162"/>
      <c r="L109" s="380">
        <f>H109</f>
        <v>7138.135283574793</v>
      </c>
      <c r="M109" s="381">
        <f>IF(L109&lt;&gt;0,+H109-L109,0)</f>
        <v>0</v>
      </c>
      <c r="N109" s="380">
        <f>I109</f>
        <v>7138.135283574793</v>
      </c>
      <c r="O109" s="162">
        <f>IF(N109&lt;&gt;0,+I109-N109,0)</f>
        <v>0</v>
      </c>
      <c r="P109" s="162">
        <f>+O109-M109</f>
        <v>0</v>
      </c>
    </row>
    <row r="110" spans="1:16">
      <c r="B110" s="9" t="str">
        <f t="shared" si="22"/>
        <v/>
      </c>
      <c r="C110" s="157">
        <f>IF(D93="","-",+C109+1)</f>
        <v>2017</v>
      </c>
      <c r="D110" s="158">
        <f>IF(F109+SUM(E$99:E109)=D$92,F109,D$92-SUM(E$99:E109))</f>
        <v>45297</v>
      </c>
      <c r="E110" s="165">
        <f>IF(+J96&lt;F109,J96,D110)</f>
        <v>1220</v>
      </c>
      <c r="F110" s="163">
        <f t="shared" ref="F110:F130" si="25">+D110-E110</f>
        <v>44077</v>
      </c>
      <c r="G110" s="163">
        <f t="shared" ref="G110:G130" si="26">+(F110+D110)/2</f>
        <v>44687</v>
      </c>
      <c r="H110" s="167">
        <f t="shared" ref="H110:H154" si="27">+J$94*G110+E110</f>
        <v>6888.6586283105316</v>
      </c>
      <c r="I110" s="317">
        <f t="shared" ref="I110:I154" si="28">+J$95*G110+E110</f>
        <v>6888.6586283105316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2018</v>
      </c>
      <c r="D111" s="158">
        <f>IF(F110+SUM(E$99:E110)=D$92,F110,D$92-SUM(E$99:E110))</f>
        <v>44077</v>
      </c>
      <c r="E111" s="165">
        <f>IF(+J96&lt;F110,J96,D111)</f>
        <v>1220</v>
      </c>
      <c r="F111" s="163">
        <f t="shared" si="25"/>
        <v>42857</v>
      </c>
      <c r="G111" s="163">
        <f t="shared" si="26"/>
        <v>43467</v>
      </c>
      <c r="H111" s="167">
        <f t="shared" si="27"/>
        <v>6733.8985520794386</v>
      </c>
      <c r="I111" s="317">
        <f t="shared" si="28"/>
        <v>6733.8985520794386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2019</v>
      </c>
      <c r="D112" s="158">
        <f>IF(F111+SUM(E$99:E111)=D$92,F111,D$92-SUM(E$99:E111))</f>
        <v>42857</v>
      </c>
      <c r="E112" s="165">
        <f>IF(+J96&lt;F111,J96,D112)</f>
        <v>1220</v>
      </c>
      <c r="F112" s="163">
        <f t="shared" si="25"/>
        <v>41637</v>
      </c>
      <c r="G112" s="163">
        <f t="shared" si="26"/>
        <v>42247</v>
      </c>
      <c r="H112" s="167">
        <f t="shared" si="27"/>
        <v>6579.1384758483455</v>
      </c>
      <c r="I112" s="317">
        <f t="shared" si="28"/>
        <v>6579.1384758483455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2020</v>
      </c>
      <c r="D113" s="158">
        <f>IF(F112+SUM(E$99:E112)=D$92,F112,D$92-SUM(E$99:E112))</f>
        <v>41637</v>
      </c>
      <c r="E113" s="165">
        <f>IF(+J96&lt;F112,J96,D113)</f>
        <v>1220</v>
      </c>
      <c r="F113" s="163">
        <f t="shared" si="25"/>
        <v>40417</v>
      </c>
      <c r="G113" s="163">
        <f t="shared" si="26"/>
        <v>41027</v>
      </c>
      <c r="H113" s="167">
        <f t="shared" si="27"/>
        <v>6424.3783996172524</v>
      </c>
      <c r="I113" s="317">
        <f t="shared" si="28"/>
        <v>6424.3783996172524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2021</v>
      </c>
      <c r="D114" s="158">
        <f>IF(F113+SUM(E$99:E113)=D$92,F113,D$92-SUM(E$99:E113))</f>
        <v>40417</v>
      </c>
      <c r="E114" s="165">
        <f>IF(+J96&lt;F113,J96,D114)</f>
        <v>1220</v>
      </c>
      <c r="F114" s="163">
        <f t="shared" si="25"/>
        <v>39197</v>
      </c>
      <c r="G114" s="163">
        <f t="shared" si="26"/>
        <v>39807</v>
      </c>
      <c r="H114" s="167">
        <f t="shared" si="27"/>
        <v>6269.6183233861602</v>
      </c>
      <c r="I114" s="317">
        <f t="shared" si="28"/>
        <v>6269.6183233861602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2022</v>
      </c>
      <c r="D115" s="158">
        <f>IF(F114+SUM(E$99:E114)=D$92,F114,D$92-SUM(E$99:E114))</f>
        <v>39197</v>
      </c>
      <c r="E115" s="165">
        <f>IF(+J96&lt;F114,J96,D115)</f>
        <v>1220</v>
      </c>
      <c r="F115" s="163">
        <f t="shared" si="25"/>
        <v>37977</v>
      </c>
      <c r="G115" s="163">
        <f t="shared" si="26"/>
        <v>38587</v>
      </c>
      <c r="H115" s="167">
        <f t="shared" si="27"/>
        <v>6114.8582471550671</v>
      </c>
      <c r="I115" s="317">
        <f t="shared" si="28"/>
        <v>6114.8582471550671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2023</v>
      </c>
      <c r="D116" s="158">
        <f>IF(F115+SUM(E$99:E115)=D$92,F115,D$92-SUM(E$99:E115))</f>
        <v>37977</v>
      </c>
      <c r="E116" s="165">
        <f>IF(+J96&lt;F115,J96,D116)</f>
        <v>1220</v>
      </c>
      <c r="F116" s="163">
        <f t="shared" si="25"/>
        <v>36757</v>
      </c>
      <c r="G116" s="163">
        <f t="shared" si="26"/>
        <v>37367</v>
      </c>
      <c r="H116" s="167">
        <f t="shared" si="27"/>
        <v>5960.0981709239741</v>
      </c>
      <c r="I116" s="317">
        <f t="shared" si="28"/>
        <v>5960.0981709239741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2024</v>
      </c>
      <c r="D117" s="158">
        <f>IF(F116+SUM(E$99:E116)=D$92,F116,D$92-SUM(E$99:E116))</f>
        <v>36757</v>
      </c>
      <c r="E117" s="165">
        <f>IF(+J96&lt;F116,J96,D117)</f>
        <v>1220</v>
      </c>
      <c r="F117" s="163">
        <f t="shared" si="25"/>
        <v>35537</v>
      </c>
      <c r="G117" s="163">
        <f t="shared" si="26"/>
        <v>36147</v>
      </c>
      <c r="H117" s="167">
        <f t="shared" si="27"/>
        <v>5805.338094692881</v>
      </c>
      <c r="I117" s="317">
        <f t="shared" si="28"/>
        <v>5805.338094692881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2025</v>
      </c>
      <c r="D118" s="158">
        <f>IF(F117+SUM(E$99:E117)=D$92,F117,D$92-SUM(E$99:E117))</f>
        <v>35537</v>
      </c>
      <c r="E118" s="165">
        <f>IF(+J96&lt;F117,J96,D118)</f>
        <v>1220</v>
      </c>
      <c r="F118" s="163">
        <f t="shared" si="25"/>
        <v>34317</v>
      </c>
      <c r="G118" s="163">
        <f t="shared" si="26"/>
        <v>34927</v>
      </c>
      <c r="H118" s="167">
        <f t="shared" si="27"/>
        <v>5650.5780184617879</v>
      </c>
      <c r="I118" s="317">
        <f t="shared" si="28"/>
        <v>5650.5780184617879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2026</v>
      </c>
      <c r="D119" s="158">
        <f>IF(F118+SUM(E$99:E118)=D$92,F118,D$92-SUM(E$99:E118))</f>
        <v>34317</v>
      </c>
      <c r="E119" s="165">
        <f>IF(+J96&lt;F118,J96,D119)</f>
        <v>1220</v>
      </c>
      <c r="F119" s="163">
        <f t="shared" si="25"/>
        <v>33097</v>
      </c>
      <c r="G119" s="163">
        <f t="shared" si="26"/>
        <v>33707</v>
      </c>
      <c r="H119" s="167">
        <f t="shared" si="27"/>
        <v>5495.8179422306957</v>
      </c>
      <c r="I119" s="317">
        <f t="shared" si="28"/>
        <v>5495.8179422306957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2027</v>
      </c>
      <c r="D120" s="158">
        <f>IF(F119+SUM(E$99:E119)=D$92,F119,D$92-SUM(E$99:E119))</f>
        <v>33097</v>
      </c>
      <c r="E120" s="165">
        <f>IF(+J96&lt;F119,J96,D120)</f>
        <v>1220</v>
      </c>
      <c r="F120" s="163">
        <f t="shared" si="25"/>
        <v>31877</v>
      </c>
      <c r="G120" s="163">
        <f t="shared" si="26"/>
        <v>32487</v>
      </c>
      <c r="H120" s="167">
        <f t="shared" si="27"/>
        <v>5341.0578659996027</v>
      </c>
      <c r="I120" s="317">
        <f t="shared" si="28"/>
        <v>5341.0578659996027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2028</v>
      </c>
      <c r="D121" s="158">
        <f>IF(F120+SUM(E$99:E120)=D$92,F120,D$92-SUM(E$99:E120))</f>
        <v>31877</v>
      </c>
      <c r="E121" s="165">
        <f>IF(+J96&lt;F120,J96,D121)</f>
        <v>1220</v>
      </c>
      <c r="F121" s="163">
        <f t="shared" si="25"/>
        <v>30657</v>
      </c>
      <c r="G121" s="163">
        <f t="shared" si="26"/>
        <v>31267</v>
      </c>
      <c r="H121" s="167">
        <f t="shared" si="27"/>
        <v>5186.2977897685096</v>
      </c>
      <c r="I121" s="317">
        <f t="shared" si="28"/>
        <v>5186.2977897685096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2029</v>
      </c>
      <c r="D122" s="158">
        <f>IF(F121+SUM(E$99:E121)=D$92,F121,D$92-SUM(E$99:E121))</f>
        <v>30657</v>
      </c>
      <c r="E122" s="165">
        <f>IF(+J96&lt;F121,J96,D122)</f>
        <v>1220</v>
      </c>
      <c r="F122" s="163">
        <f t="shared" si="25"/>
        <v>29437</v>
      </c>
      <c r="G122" s="163">
        <f t="shared" si="26"/>
        <v>30047</v>
      </c>
      <c r="H122" s="167">
        <f t="shared" si="27"/>
        <v>5031.5377135374165</v>
      </c>
      <c r="I122" s="317">
        <f t="shared" si="28"/>
        <v>5031.5377135374165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2030</v>
      </c>
      <c r="D123" s="158">
        <f>IF(F122+SUM(E$99:E122)=D$92,F122,D$92-SUM(E$99:E122))</f>
        <v>29437</v>
      </c>
      <c r="E123" s="165">
        <f>IF(+J96&lt;F122,J96,D123)</f>
        <v>1220</v>
      </c>
      <c r="F123" s="163">
        <f t="shared" si="25"/>
        <v>28217</v>
      </c>
      <c r="G123" s="163">
        <f t="shared" si="26"/>
        <v>28827</v>
      </c>
      <c r="H123" s="167">
        <f t="shared" si="27"/>
        <v>4876.7776373063243</v>
      </c>
      <c r="I123" s="317">
        <f t="shared" si="28"/>
        <v>4876.7776373063243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2031</v>
      </c>
      <c r="D124" s="158">
        <f>IF(F123+SUM(E$99:E123)=D$92,F123,D$92-SUM(E$99:E123))</f>
        <v>28217</v>
      </c>
      <c r="E124" s="165">
        <f>IF(+J96&lt;F123,J96,D124)</f>
        <v>1220</v>
      </c>
      <c r="F124" s="163">
        <f t="shared" si="25"/>
        <v>26997</v>
      </c>
      <c r="G124" s="163">
        <f t="shared" si="26"/>
        <v>27607</v>
      </c>
      <c r="H124" s="167">
        <f t="shared" si="27"/>
        <v>4722.0175610752303</v>
      </c>
      <c r="I124" s="317">
        <f t="shared" si="28"/>
        <v>4722.0175610752303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2032</v>
      </c>
      <c r="D125" s="158">
        <f>IF(F124+SUM(E$99:E124)=D$92,F124,D$92-SUM(E$99:E124))</f>
        <v>26997</v>
      </c>
      <c r="E125" s="165">
        <f>IF(+J96&lt;F124,J96,D125)</f>
        <v>1220</v>
      </c>
      <c r="F125" s="163">
        <f t="shared" si="25"/>
        <v>25777</v>
      </c>
      <c r="G125" s="163">
        <f t="shared" si="26"/>
        <v>26387</v>
      </c>
      <c r="H125" s="167">
        <f t="shared" si="27"/>
        <v>4567.2574848441382</v>
      </c>
      <c r="I125" s="317">
        <f t="shared" si="28"/>
        <v>4567.2574848441382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2033</v>
      </c>
      <c r="D126" s="158">
        <f>IF(F125+SUM(E$99:E125)=D$92,F125,D$92-SUM(E$99:E125))</f>
        <v>25777</v>
      </c>
      <c r="E126" s="165">
        <f>IF(+J96&lt;F125,J96,D126)</f>
        <v>1220</v>
      </c>
      <c r="F126" s="163">
        <f t="shared" si="25"/>
        <v>24557</v>
      </c>
      <c r="G126" s="163">
        <f t="shared" si="26"/>
        <v>25167</v>
      </c>
      <c r="H126" s="167">
        <f t="shared" si="27"/>
        <v>4412.4974086130451</v>
      </c>
      <c r="I126" s="317">
        <f t="shared" si="28"/>
        <v>4412.4974086130451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2034</v>
      </c>
      <c r="D127" s="158">
        <f>IF(F126+SUM(E$99:E126)=D$92,F126,D$92-SUM(E$99:E126))</f>
        <v>24557</v>
      </c>
      <c r="E127" s="165">
        <f>IF(+J96&lt;F126,J96,D127)</f>
        <v>1220</v>
      </c>
      <c r="F127" s="163">
        <f t="shared" si="25"/>
        <v>23337</v>
      </c>
      <c r="G127" s="163">
        <f t="shared" si="26"/>
        <v>23947</v>
      </c>
      <c r="H127" s="167">
        <f t="shared" si="27"/>
        <v>4257.737332381952</v>
      </c>
      <c r="I127" s="317">
        <f t="shared" si="28"/>
        <v>4257.737332381952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2035</v>
      </c>
      <c r="D128" s="158">
        <f>IF(F127+SUM(E$99:E127)=D$92,F127,D$92-SUM(E$99:E127))</f>
        <v>23337</v>
      </c>
      <c r="E128" s="165">
        <f>IF(+J96&lt;F127,J96,D128)</f>
        <v>1220</v>
      </c>
      <c r="F128" s="163">
        <f t="shared" si="25"/>
        <v>22117</v>
      </c>
      <c r="G128" s="163">
        <f t="shared" si="26"/>
        <v>22727</v>
      </c>
      <c r="H128" s="167">
        <f t="shared" si="27"/>
        <v>4102.9772561508598</v>
      </c>
      <c r="I128" s="317">
        <f t="shared" si="28"/>
        <v>4102.9772561508598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2036</v>
      </c>
      <c r="D129" s="158">
        <f>IF(F128+SUM(E$99:E128)=D$92,F128,D$92-SUM(E$99:E128))</f>
        <v>22117</v>
      </c>
      <c r="E129" s="165">
        <f>IF(+J96&lt;F128,J96,D129)</f>
        <v>1220</v>
      </c>
      <c r="F129" s="163">
        <f t="shared" si="25"/>
        <v>20897</v>
      </c>
      <c r="G129" s="163">
        <f t="shared" si="26"/>
        <v>21507</v>
      </c>
      <c r="H129" s="167">
        <f t="shared" si="27"/>
        <v>3948.2171799197663</v>
      </c>
      <c r="I129" s="317">
        <f t="shared" si="28"/>
        <v>3948.2171799197663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2037</v>
      </c>
      <c r="D130" s="158">
        <f>IF(F129+SUM(E$99:E129)=D$92,F129,D$92-SUM(E$99:E129))</f>
        <v>20897</v>
      </c>
      <c r="E130" s="165">
        <f>IF(+J96&lt;F129,J96,D130)</f>
        <v>1220</v>
      </c>
      <c r="F130" s="163">
        <f t="shared" si="25"/>
        <v>19677</v>
      </c>
      <c r="G130" s="163">
        <f t="shared" si="26"/>
        <v>20287</v>
      </c>
      <c r="H130" s="167">
        <f t="shared" si="27"/>
        <v>3793.4571036886737</v>
      </c>
      <c r="I130" s="317">
        <f t="shared" si="28"/>
        <v>3793.4571036886737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2038</v>
      </c>
      <c r="D131" s="158">
        <f>IF(F130+SUM(E$99:E130)=D$92,F130,D$92-SUM(E$99:E130))</f>
        <v>19677</v>
      </c>
      <c r="E131" s="165">
        <f>IF(+J96&lt;F130,J96,D131)</f>
        <v>1220</v>
      </c>
      <c r="F131" s="163">
        <f t="shared" ref="F131:F154" si="29">+D131-E131</f>
        <v>18457</v>
      </c>
      <c r="G131" s="163">
        <f t="shared" ref="G131:G154" si="30">+(F131+D131)/2</f>
        <v>19067</v>
      </c>
      <c r="H131" s="167">
        <f t="shared" si="27"/>
        <v>3638.6970274575806</v>
      </c>
      <c r="I131" s="317">
        <f t="shared" si="28"/>
        <v>3638.6970274575806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2"/>
        <v/>
      </c>
      <c r="C132" s="157">
        <f>IF(D93="","-",+C131+1)</f>
        <v>2039</v>
      </c>
      <c r="D132" s="158">
        <f>IF(F131+SUM(E$99:E131)=D$92,F131,D$92-SUM(E$99:E131))</f>
        <v>18457</v>
      </c>
      <c r="E132" s="165">
        <f>IF(+J96&lt;F131,J96,D132)</f>
        <v>1220</v>
      </c>
      <c r="F132" s="163">
        <f t="shared" si="29"/>
        <v>17237</v>
      </c>
      <c r="G132" s="163">
        <f t="shared" si="30"/>
        <v>17847</v>
      </c>
      <c r="H132" s="167">
        <f t="shared" si="27"/>
        <v>3483.9369512264875</v>
      </c>
      <c r="I132" s="317">
        <f t="shared" si="28"/>
        <v>3483.9369512264875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2"/>
        <v/>
      </c>
      <c r="C133" s="157">
        <f>IF(D93="","-",+C132+1)</f>
        <v>2040</v>
      </c>
      <c r="D133" s="158">
        <f>IF(F132+SUM(E$99:E132)=D$92,F132,D$92-SUM(E$99:E132))</f>
        <v>17237</v>
      </c>
      <c r="E133" s="165">
        <f>IF(+J96&lt;F132,J96,D133)</f>
        <v>1220</v>
      </c>
      <c r="F133" s="163">
        <f t="shared" si="29"/>
        <v>16017</v>
      </c>
      <c r="G133" s="163">
        <f t="shared" si="30"/>
        <v>16627</v>
      </c>
      <c r="H133" s="167">
        <f t="shared" si="27"/>
        <v>3329.1768749953949</v>
      </c>
      <c r="I133" s="317">
        <f t="shared" si="28"/>
        <v>3329.1768749953949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2"/>
        <v/>
      </c>
      <c r="C134" s="157">
        <f>IF(D93="","-",+C133+1)</f>
        <v>2041</v>
      </c>
      <c r="D134" s="158">
        <f>IF(F133+SUM(E$99:E133)=D$92,F133,D$92-SUM(E$99:E133))</f>
        <v>16017</v>
      </c>
      <c r="E134" s="165">
        <f>IF(+J96&lt;F133,J96,D134)</f>
        <v>1220</v>
      </c>
      <c r="F134" s="163">
        <f t="shared" si="29"/>
        <v>14797</v>
      </c>
      <c r="G134" s="163">
        <f t="shared" si="30"/>
        <v>15407</v>
      </c>
      <c r="H134" s="167">
        <f t="shared" si="27"/>
        <v>3174.4167987643018</v>
      </c>
      <c r="I134" s="317">
        <f t="shared" si="28"/>
        <v>3174.4167987643018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2"/>
        <v/>
      </c>
      <c r="C135" s="157">
        <f>IF(D93="","-",+C134+1)</f>
        <v>2042</v>
      </c>
      <c r="D135" s="158">
        <f>IF(F134+SUM(E$99:E134)=D$92,F134,D$92-SUM(E$99:E134))</f>
        <v>14797</v>
      </c>
      <c r="E135" s="165">
        <f>IF(+J96&lt;F134,J96,D135)</f>
        <v>1220</v>
      </c>
      <c r="F135" s="163">
        <f t="shared" si="29"/>
        <v>13577</v>
      </c>
      <c r="G135" s="163">
        <f t="shared" si="30"/>
        <v>14187</v>
      </c>
      <c r="H135" s="167">
        <f t="shared" si="27"/>
        <v>3019.6567225332092</v>
      </c>
      <c r="I135" s="317">
        <f t="shared" si="28"/>
        <v>3019.6567225332092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2"/>
        <v/>
      </c>
      <c r="C136" s="157">
        <f>IF(D93="","-",+C135+1)</f>
        <v>2043</v>
      </c>
      <c r="D136" s="158">
        <f>IF(F135+SUM(E$99:E135)=D$92,F135,D$92-SUM(E$99:E135))</f>
        <v>13577</v>
      </c>
      <c r="E136" s="165">
        <f>IF(+J96&lt;F135,J96,D136)</f>
        <v>1220</v>
      </c>
      <c r="F136" s="163">
        <f t="shared" si="29"/>
        <v>12357</v>
      </c>
      <c r="G136" s="163">
        <f t="shared" si="30"/>
        <v>12967</v>
      </c>
      <c r="H136" s="167">
        <f t="shared" si="27"/>
        <v>2864.8966463021161</v>
      </c>
      <c r="I136" s="317">
        <f t="shared" si="28"/>
        <v>2864.8966463021161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2"/>
        <v/>
      </c>
      <c r="C137" s="157">
        <f>IF(D93="","-",+C136+1)</f>
        <v>2044</v>
      </c>
      <c r="D137" s="158">
        <f>IF(F136+SUM(E$99:E136)=D$92,F136,D$92-SUM(E$99:E136))</f>
        <v>12357</v>
      </c>
      <c r="E137" s="165">
        <f>IF(+J96&lt;F136,J96,D137)</f>
        <v>1220</v>
      </c>
      <c r="F137" s="163">
        <f t="shared" si="29"/>
        <v>11137</v>
      </c>
      <c r="G137" s="163">
        <f t="shared" si="30"/>
        <v>11747</v>
      </c>
      <c r="H137" s="167">
        <f t="shared" si="27"/>
        <v>2710.136570071023</v>
      </c>
      <c r="I137" s="317">
        <f t="shared" si="28"/>
        <v>2710.136570071023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2"/>
        <v/>
      </c>
      <c r="C138" s="157">
        <f>IF(D93="","-",+C137+1)</f>
        <v>2045</v>
      </c>
      <c r="D138" s="158">
        <f>IF(F137+SUM(E$99:E137)=D$92,F137,D$92-SUM(E$99:E137))</f>
        <v>11137</v>
      </c>
      <c r="E138" s="165">
        <f>IF(+J96&lt;F137,J96,D138)</f>
        <v>1220</v>
      </c>
      <c r="F138" s="163">
        <f t="shared" si="29"/>
        <v>9917</v>
      </c>
      <c r="G138" s="163">
        <f t="shared" si="30"/>
        <v>10527</v>
      </c>
      <c r="H138" s="167">
        <f t="shared" si="27"/>
        <v>2555.3764938399304</v>
      </c>
      <c r="I138" s="317">
        <f t="shared" si="28"/>
        <v>2555.3764938399304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2"/>
        <v/>
      </c>
      <c r="C139" s="157">
        <f>IF(D93="","-",+C138+1)</f>
        <v>2046</v>
      </c>
      <c r="D139" s="158">
        <f>IF(F138+SUM(E$99:E138)=D$92,F138,D$92-SUM(E$99:E138))</f>
        <v>9917</v>
      </c>
      <c r="E139" s="165">
        <f>IF(+J96&lt;F138,J96,D139)</f>
        <v>1220</v>
      </c>
      <c r="F139" s="163">
        <f t="shared" si="29"/>
        <v>8697</v>
      </c>
      <c r="G139" s="163">
        <f t="shared" si="30"/>
        <v>9307</v>
      </c>
      <c r="H139" s="167">
        <f t="shared" si="27"/>
        <v>2400.6164176088373</v>
      </c>
      <c r="I139" s="317">
        <f t="shared" si="28"/>
        <v>2400.6164176088373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2"/>
        <v/>
      </c>
      <c r="C140" s="157">
        <f>IF(D93="","-",+C139+1)</f>
        <v>2047</v>
      </c>
      <c r="D140" s="158">
        <f>IF(F139+SUM(E$99:E139)=D$92,F139,D$92-SUM(E$99:E139))</f>
        <v>8697</v>
      </c>
      <c r="E140" s="165">
        <f>IF(+J96&lt;F139,J96,D140)</f>
        <v>1220</v>
      </c>
      <c r="F140" s="163">
        <f t="shared" si="29"/>
        <v>7477</v>
      </c>
      <c r="G140" s="163">
        <f t="shared" si="30"/>
        <v>8087</v>
      </c>
      <c r="H140" s="167">
        <f t="shared" si="27"/>
        <v>2245.8563413777447</v>
      </c>
      <c r="I140" s="317">
        <f t="shared" si="28"/>
        <v>2245.8563413777447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2"/>
        <v/>
      </c>
      <c r="C141" s="157">
        <f>IF(D93="","-",+C140+1)</f>
        <v>2048</v>
      </c>
      <c r="D141" s="158">
        <f>IF(F140+SUM(E$99:E140)=D$92,F140,D$92-SUM(E$99:E140))</f>
        <v>7477</v>
      </c>
      <c r="E141" s="165">
        <f>IF(+J96&lt;F140,J96,D141)</f>
        <v>1220</v>
      </c>
      <c r="F141" s="163">
        <f t="shared" si="29"/>
        <v>6257</v>
      </c>
      <c r="G141" s="163">
        <f t="shared" si="30"/>
        <v>6867</v>
      </c>
      <c r="H141" s="167">
        <f t="shared" si="27"/>
        <v>2091.0962651466516</v>
      </c>
      <c r="I141" s="317">
        <f t="shared" si="28"/>
        <v>2091.0962651466516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2"/>
        <v/>
      </c>
      <c r="C142" s="157">
        <f>IF(D93="","-",+C141+1)</f>
        <v>2049</v>
      </c>
      <c r="D142" s="158">
        <f>IF(F141+SUM(E$99:E141)=D$92,F141,D$92-SUM(E$99:E141))</f>
        <v>6257</v>
      </c>
      <c r="E142" s="165">
        <f>IF(+J96&lt;F141,J96,D142)</f>
        <v>1220</v>
      </c>
      <c r="F142" s="163">
        <f t="shared" si="29"/>
        <v>5037</v>
      </c>
      <c r="G142" s="163">
        <f t="shared" si="30"/>
        <v>5647</v>
      </c>
      <c r="H142" s="167">
        <f t="shared" si="27"/>
        <v>1936.3361889155588</v>
      </c>
      <c r="I142" s="317">
        <f t="shared" si="28"/>
        <v>1936.3361889155588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2"/>
        <v/>
      </c>
      <c r="C143" s="157">
        <f>IF(D93="","-",+C142+1)</f>
        <v>2050</v>
      </c>
      <c r="D143" s="158">
        <f>IF(F142+SUM(E$99:E142)=D$92,F142,D$92-SUM(E$99:E142))</f>
        <v>5037</v>
      </c>
      <c r="E143" s="165">
        <f>IF(+J96&lt;F142,J96,D143)</f>
        <v>1220</v>
      </c>
      <c r="F143" s="163">
        <f t="shared" si="29"/>
        <v>3817</v>
      </c>
      <c r="G143" s="163">
        <f t="shared" si="30"/>
        <v>4427</v>
      </c>
      <c r="H143" s="167">
        <f t="shared" si="27"/>
        <v>1781.5761126844659</v>
      </c>
      <c r="I143" s="317">
        <f t="shared" si="28"/>
        <v>1781.5761126844659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2"/>
        <v/>
      </c>
      <c r="C144" s="157">
        <f>IF(D93="","-",+C143+1)</f>
        <v>2051</v>
      </c>
      <c r="D144" s="158">
        <f>IF(F143+SUM(E$99:E143)=D$92,F143,D$92-SUM(E$99:E143))</f>
        <v>3817</v>
      </c>
      <c r="E144" s="165">
        <f>IF(+J96&lt;F143,J96,D144)</f>
        <v>1220</v>
      </c>
      <c r="F144" s="163">
        <f t="shared" si="29"/>
        <v>2597</v>
      </c>
      <c r="G144" s="163">
        <f t="shared" si="30"/>
        <v>3207</v>
      </c>
      <c r="H144" s="167">
        <f t="shared" si="27"/>
        <v>1626.8160364533728</v>
      </c>
      <c r="I144" s="317">
        <f t="shared" si="28"/>
        <v>1626.8160364533728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2"/>
        <v/>
      </c>
      <c r="C145" s="157">
        <f>IF(D93="","-",+C144+1)</f>
        <v>2052</v>
      </c>
      <c r="D145" s="158">
        <f>IF(F144+SUM(E$99:E144)=D$92,F144,D$92-SUM(E$99:E144))</f>
        <v>2597</v>
      </c>
      <c r="E145" s="165">
        <f>IF(+J96&lt;F144,J96,D145)</f>
        <v>1220</v>
      </c>
      <c r="F145" s="163">
        <f t="shared" si="29"/>
        <v>1377</v>
      </c>
      <c r="G145" s="163">
        <f t="shared" si="30"/>
        <v>1987</v>
      </c>
      <c r="H145" s="167">
        <f t="shared" si="27"/>
        <v>1472.05596022228</v>
      </c>
      <c r="I145" s="317">
        <f t="shared" si="28"/>
        <v>1472.05596022228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2"/>
        <v/>
      </c>
      <c r="C146" s="157">
        <f>IF(D93="","-",+C145+1)</f>
        <v>2053</v>
      </c>
      <c r="D146" s="158">
        <f>IF(F145+SUM(E$99:E145)=D$92,F145,D$92-SUM(E$99:E145))</f>
        <v>1377</v>
      </c>
      <c r="E146" s="165">
        <f>IF(+J96&lt;F145,J96,D146)</f>
        <v>1220</v>
      </c>
      <c r="F146" s="163">
        <f t="shared" si="29"/>
        <v>157</v>
      </c>
      <c r="G146" s="163">
        <f t="shared" si="30"/>
        <v>767</v>
      </c>
      <c r="H146" s="167">
        <f t="shared" si="27"/>
        <v>1317.2958839911871</v>
      </c>
      <c r="I146" s="317">
        <f t="shared" si="28"/>
        <v>1317.2958839911871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2"/>
        <v/>
      </c>
      <c r="C147" s="157">
        <f>IF(D93="","-",+C146+1)</f>
        <v>2054</v>
      </c>
      <c r="D147" s="158">
        <f>IF(F146+SUM(E$99:E146)=D$92,F146,D$92-SUM(E$99:E146))</f>
        <v>157</v>
      </c>
      <c r="E147" s="165">
        <f>IF(+J96&lt;F146,J96,D147)</f>
        <v>157</v>
      </c>
      <c r="F147" s="163">
        <f t="shared" si="29"/>
        <v>0</v>
      </c>
      <c r="G147" s="163">
        <f t="shared" si="30"/>
        <v>78.5</v>
      </c>
      <c r="H147" s="167">
        <f t="shared" si="27"/>
        <v>166.95792293782031</v>
      </c>
      <c r="I147" s="317">
        <f t="shared" si="28"/>
        <v>166.95792293782031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2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2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2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2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2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2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2"/>
        <v/>
      </c>
      <c r="C154" s="168">
        <f>IF(D93="","-",+C153+1)</f>
        <v>2061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56133</v>
      </c>
      <c r="F155" s="115"/>
      <c r="G155" s="115"/>
      <c r="H155" s="115">
        <f>SUM(H99:H154)</f>
        <v>227286.8225120967</v>
      </c>
      <c r="I155" s="115">
        <f>SUM(I99:I154)</f>
        <v>227286.8225120967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9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7989.0212540933571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7989.0212540933571</v>
      </c>
      <c r="O6" s="1"/>
      <c r="P6" s="1"/>
    </row>
    <row r="7" spans="1:16" ht="13.5" thickBot="1">
      <c r="C7" s="127" t="s">
        <v>41</v>
      </c>
      <c r="D7" s="343" t="s">
        <v>207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83</v>
      </c>
      <c r="E9" s="428" t="s">
        <v>309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72551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1813.7750000000001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2007</v>
      </c>
      <c r="D17" s="366">
        <v>72551</v>
      </c>
      <c r="E17" s="367">
        <v>863.70238095238085</v>
      </c>
      <c r="F17" s="366">
        <v>71687.297619047618</v>
      </c>
      <c r="G17" s="367">
        <v>11207.929543529199</v>
      </c>
      <c r="H17" s="370">
        <v>11207.929543529199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71">
        <v>71687.297619047618</v>
      </c>
      <c r="E18" s="368">
        <v>1295.5535714285713</v>
      </c>
      <c r="F18" s="371">
        <v>70391.744047619053</v>
      </c>
      <c r="G18" s="368">
        <v>11452.836869621469</v>
      </c>
      <c r="H18" s="370">
        <v>11452.836869621469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71">
        <v>70391.744047619053</v>
      </c>
      <c r="E19" s="368">
        <v>1295.5535714285713</v>
      </c>
      <c r="F19" s="371">
        <v>69096.190476190488</v>
      </c>
      <c r="G19" s="368">
        <v>11265.893005237553</v>
      </c>
      <c r="H19" s="370">
        <v>11265.893005237553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71">
        <v>69096.190476190488</v>
      </c>
      <c r="E20" s="368">
        <v>1295.5535714285713</v>
      </c>
      <c r="F20" s="371">
        <v>67800.636904761923</v>
      </c>
      <c r="G20" s="368">
        <v>11078.949140853634</v>
      </c>
      <c r="H20" s="370">
        <v>11078.949140853634</v>
      </c>
      <c r="I20" s="160">
        <f t="shared" si="0"/>
        <v>0</v>
      </c>
      <c r="J20" s="160"/>
      <c r="K20" s="380">
        <f t="shared" ref="K20:K25" si="5">G20</f>
        <v>11078.949140853634</v>
      </c>
      <c r="L20" s="381">
        <f t="shared" si="1"/>
        <v>0</v>
      </c>
      <c r="M20" s="380">
        <f t="shared" ref="M20:M25" si="6">H20</f>
        <v>11078.949140853634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71">
        <v>67800.636904761923</v>
      </c>
      <c r="E21" s="368">
        <v>1422.5686274509803</v>
      </c>
      <c r="F21" s="371">
        <v>66378.068277310944</v>
      </c>
      <c r="G21" s="368">
        <v>11813.613268851301</v>
      </c>
      <c r="H21" s="370">
        <v>11813.613268851301</v>
      </c>
      <c r="I21" s="160">
        <f t="shared" si="0"/>
        <v>0</v>
      </c>
      <c r="J21" s="160"/>
      <c r="K21" s="338">
        <f t="shared" si="5"/>
        <v>11813.613268851301</v>
      </c>
      <c r="L21" s="272">
        <f t="shared" si="1"/>
        <v>0</v>
      </c>
      <c r="M21" s="338">
        <f t="shared" si="6"/>
        <v>11813.613268851301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71">
        <v>66378.068277310944</v>
      </c>
      <c r="E22" s="368">
        <v>1395.2115384615386</v>
      </c>
      <c r="F22" s="371">
        <v>64982.856738849405</v>
      </c>
      <c r="G22" s="368">
        <v>10441.262785463339</v>
      </c>
      <c r="H22" s="370">
        <v>10441.262785463339</v>
      </c>
      <c r="I22" s="160">
        <f t="shared" si="0"/>
        <v>0</v>
      </c>
      <c r="J22" s="160"/>
      <c r="K22" s="338">
        <f t="shared" si="5"/>
        <v>10441.262785463339</v>
      </c>
      <c r="L22" s="272">
        <f t="shared" si="1"/>
        <v>0</v>
      </c>
      <c r="M22" s="338">
        <f t="shared" si="6"/>
        <v>10441.262785463339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71">
        <v>64982.856738849405</v>
      </c>
      <c r="E23" s="368">
        <v>1395.2115384615386</v>
      </c>
      <c r="F23" s="371">
        <v>63587.645200387866</v>
      </c>
      <c r="G23" s="368">
        <v>10475.957148527981</v>
      </c>
      <c r="H23" s="370">
        <v>10475.957148527981</v>
      </c>
      <c r="I23" s="160">
        <v>0</v>
      </c>
      <c r="J23" s="160"/>
      <c r="K23" s="338">
        <f t="shared" si="5"/>
        <v>10475.957148527981</v>
      </c>
      <c r="L23" s="272">
        <f t="shared" ref="L23:L28" si="7">IF(K23&lt;&gt;0,+G23-K23,0)</f>
        <v>0</v>
      </c>
      <c r="M23" s="338">
        <f t="shared" si="6"/>
        <v>10475.957148527981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71">
        <v>63587.645200387866</v>
      </c>
      <c r="E24" s="368">
        <v>1395.2115384615386</v>
      </c>
      <c r="F24" s="371">
        <v>62192.433661926327</v>
      </c>
      <c r="G24" s="368">
        <v>9956.5453160541092</v>
      </c>
      <c r="H24" s="370">
        <v>9956.5453160541092</v>
      </c>
      <c r="I24" s="160">
        <v>0</v>
      </c>
      <c r="J24" s="160"/>
      <c r="K24" s="338">
        <f t="shared" si="5"/>
        <v>9956.5453160541092</v>
      </c>
      <c r="L24" s="272">
        <f t="shared" si="7"/>
        <v>0</v>
      </c>
      <c r="M24" s="338">
        <f t="shared" si="6"/>
        <v>9956.5453160541092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71">
        <v>62192.433661926327</v>
      </c>
      <c r="E25" s="368">
        <v>1395.2115384615386</v>
      </c>
      <c r="F25" s="371">
        <v>60797.222123464788</v>
      </c>
      <c r="G25" s="368">
        <v>9777.4252794187214</v>
      </c>
      <c r="H25" s="370">
        <v>9777.4252794187214</v>
      </c>
      <c r="I25" s="160">
        <v>0</v>
      </c>
      <c r="J25" s="160"/>
      <c r="K25" s="338">
        <f t="shared" si="5"/>
        <v>9777.4252794187214</v>
      </c>
      <c r="L25" s="272">
        <f t="shared" si="7"/>
        <v>0</v>
      </c>
      <c r="M25" s="338">
        <f t="shared" si="6"/>
        <v>9777.4252794187214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71">
        <v>60797.222123464788</v>
      </c>
      <c r="E26" s="368">
        <v>1395.2115384615386</v>
      </c>
      <c r="F26" s="371">
        <v>59402.010585003249</v>
      </c>
      <c r="G26" s="368">
        <v>9186.357507240491</v>
      </c>
      <c r="H26" s="370">
        <v>9186.357507240491</v>
      </c>
      <c r="I26" s="160">
        <f t="shared" si="0"/>
        <v>0</v>
      </c>
      <c r="J26" s="160"/>
      <c r="K26" s="338">
        <f>G26</f>
        <v>9186.357507240491</v>
      </c>
      <c r="L26" s="272">
        <f t="shared" si="7"/>
        <v>0</v>
      </c>
      <c r="M26" s="338">
        <f>H26</f>
        <v>9186.357507240491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71">
        <v>59402.010585003249</v>
      </c>
      <c r="E27" s="368">
        <v>1577.195652173913</v>
      </c>
      <c r="F27" s="371">
        <v>57824.814932829337</v>
      </c>
      <c r="G27" s="368">
        <v>8936.0194583135126</v>
      </c>
      <c r="H27" s="370">
        <v>8936.0194583135126</v>
      </c>
      <c r="I27" s="160">
        <v>0</v>
      </c>
      <c r="J27" s="160"/>
      <c r="K27" s="338">
        <f>G27</f>
        <v>8936.0194583135126</v>
      </c>
      <c r="L27" s="272">
        <f t="shared" si="7"/>
        <v>0</v>
      </c>
      <c r="M27" s="338">
        <f>H27</f>
        <v>8936.0194583135126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71">
        <v>57824.814932829337</v>
      </c>
      <c r="E28" s="368">
        <v>1612.2444444444445</v>
      </c>
      <c r="F28" s="371">
        <v>56212.570488384896</v>
      </c>
      <c r="G28" s="368">
        <v>8440.7426840086373</v>
      </c>
      <c r="H28" s="370">
        <v>8440.7426840086373</v>
      </c>
      <c r="I28" s="160">
        <f t="shared" si="0"/>
        <v>0</v>
      </c>
      <c r="J28" s="160"/>
      <c r="K28" s="338">
        <f>G28</f>
        <v>8440.7426840086373</v>
      </c>
      <c r="L28" s="272">
        <f t="shared" si="7"/>
        <v>0</v>
      </c>
      <c r="M28" s="338">
        <f>H28</f>
        <v>8440.7426840086373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163">
        <f>IF(F28+SUM(E$17:E28)=D$10,F28,D$10-SUM(E$17:E28))</f>
        <v>56212.570488384896</v>
      </c>
      <c r="E29" s="164">
        <f>IF(+I14&lt;F28,I14,D29)</f>
        <v>1813.7750000000001</v>
      </c>
      <c r="F29" s="163">
        <f t="shared" ref="F29:F48" si="10">+D29-E29</f>
        <v>54398.795488384894</v>
      </c>
      <c r="G29" s="165">
        <f t="shared" ref="G29:G72" si="11">(D29+F29)/2*I$12+E29</f>
        <v>7989.0212540933571</v>
      </c>
      <c r="H29" s="147">
        <f t="shared" ref="H29:H72" si="12">+(D29+F29)/2*I$13+E29</f>
        <v>7989.0212540933571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54398.795488384894</v>
      </c>
      <c r="E30" s="164">
        <f>IF(+I14&lt;F29,I14,D30)</f>
        <v>1813.7750000000001</v>
      </c>
      <c r="F30" s="163">
        <f t="shared" si="10"/>
        <v>52585.020488384893</v>
      </c>
      <c r="G30" s="165">
        <f t="shared" si="11"/>
        <v>7786.5012476616394</v>
      </c>
      <c r="H30" s="147">
        <f t="shared" si="12"/>
        <v>7786.5012476616394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52585.020488384893</v>
      </c>
      <c r="E31" s="164">
        <f>IF(+I14&lt;F30,I14,D31)</f>
        <v>1813.7750000000001</v>
      </c>
      <c r="F31" s="163">
        <f t="shared" si="10"/>
        <v>50771.245488384891</v>
      </c>
      <c r="G31" s="165">
        <f t="shared" si="11"/>
        <v>7583.9812412299234</v>
      </c>
      <c r="H31" s="147">
        <f t="shared" si="12"/>
        <v>7583.9812412299234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50771.245488384891</v>
      </c>
      <c r="E32" s="164">
        <f>IF(+I14&lt;F31,I14,D32)</f>
        <v>1813.7750000000001</v>
      </c>
      <c r="F32" s="163">
        <f t="shared" si="10"/>
        <v>48957.47048838489</v>
      </c>
      <c r="G32" s="165">
        <f t="shared" si="11"/>
        <v>7381.4612347982056</v>
      </c>
      <c r="H32" s="147">
        <f t="shared" si="12"/>
        <v>7381.4612347982056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48957.47048838489</v>
      </c>
      <c r="E33" s="164">
        <f>IF(+I14&lt;F32,I14,D33)</f>
        <v>1813.7750000000001</v>
      </c>
      <c r="F33" s="163">
        <f t="shared" si="10"/>
        <v>47143.695488384888</v>
      </c>
      <c r="G33" s="165">
        <f t="shared" si="11"/>
        <v>7178.9412283664897</v>
      </c>
      <c r="H33" s="147">
        <f t="shared" si="12"/>
        <v>7178.9412283664897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47143.695488384888</v>
      </c>
      <c r="E34" s="164">
        <f>IF(+I14&lt;F33,I14,D34)</f>
        <v>1813.7750000000001</v>
      </c>
      <c r="F34" s="163">
        <f t="shared" si="10"/>
        <v>45329.920488384887</v>
      </c>
      <c r="G34" s="165">
        <f t="shared" si="11"/>
        <v>6976.4212219347737</v>
      </c>
      <c r="H34" s="147">
        <f t="shared" si="12"/>
        <v>6976.4212219347737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45329.920488384887</v>
      </c>
      <c r="E35" s="164">
        <f>IF(+I14&lt;F34,I14,D35)</f>
        <v>1813.7750000000001</v>
      </c>
      <c r="F35" s="163">
        <f t="shared" si="10"/>
        <v>43516.145488384886</v>
      </c>
      <c r="G35" s="165">
        <f t="shared" si="11"/>
        <v>6773.9012155030578</v>
      </c>
      <c r="H35" s="147">
        <f t="shared" si="12"/>
        <v>6773.9012155030578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43516.145488384886</v>
      </c>
      <c r="E36" s="164">
        <f>IF(+I14&lt;F35,I14,D36)</f>
        <v>1813.7750000000001</v>
      </c>
      <c r="F36" s="163">
        <f t="shared" si="10"/>
        <v>41702.370488384884</v>
      </c>
      <c r="G36" s="165">
        <f t="shared" si="11"/>
        <v>6571.38120907134</v>
      </c>
      <c r="H36" s="147">
        <f t="shared" si="12"/>
        <v>6571.38120907134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41702.370488384884</v>
      </c>
      <c r="E37" s="164">
        <f>IF(+I14&lt;F36,I14,D37)</f>
        <v>1813.7750000000001</v>
      </c>
      <c r="F37" s="163">
        <f t="shared" si="10"/>
        <v>39888.595488384883</v>
      </c>
      <c r="G37" s="165">
        <f t="shared" si="11"/>
        <v>6368.861202639624</v>
      </c>
      <c r="H37" s="147">
        <f t="shared" si="12"/>
        <v>6368.861202639624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39888.595488384883</v>
      </c>
      <c r="E38" s="164">
        <f>IF(+I14&lt;F37,I14,D38)</f>
        <v>1813.7750000000001</v>
      </c>
      <c r="F38" s="163">
        <f t="shared" si="10"/>
        <v>38074.820488384881</v>
      </c>
      <c r="G38" s="165">
        <f t="shared" si="11"/>
        <v>6166.3411962079063</v>
      </c>
      <c r="H38" s="147">
        <f t="shared" si="12"/>
        <v>6166.3411962079063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38074.820488384881</v>
      </c>
      <c r="E39" s="164">
        <f>IF(+I14&lt;F38,I14,D39)</f>
        <v>1813.7750000000001</v>
      </c>
      <c r="F39" s="163">
        <f t="shared" si="10"/>
        <v>36261.04548838488</v>
      </c>
      <c r="G39" s="165">
        <f t="shared" si="11"/>
        <v>5963.8211897761903</v>
      </c>
      <c r="H39" s="147">
        <f t="shared" si="12"/>
        <v>5963.8211897761903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36261.04548838488</v>
      </c>
      <c r="E40" s="164">
        <f>IF(+I14&lt;F39,I14,D40)</f>
        <v>1813.7750000000001</v>
      </c>
      <c r="F40" s="163">
        <f t="shared" si="10"/>
        <v>34447.270488384878</v>
      </c>
      <c r="G40" s="165">
        <f t="shared" si="11"/>
        <v>5761.3011833444743</v>
      </c>
      <c r="H40" s="147">
        <f t="shared" si="12"/>
        <v>5761.3011833444743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34447.270488384878</v>
      </c>
      <c r="E41" s="164">
        <f>IF(+I14&lt;F40,I14,D41)</f>
        <v>1813.7750000000001</v>
      </c>
      <c r="F41" s="163">
        <f t="shared" si="10"/>
        <v>32633.495488384877</v>
      </c>
      <c r="G41" s="165">
        <f t="shared" si="11"/>
        <v>5558.7811769127584</v>
      </c>
      <c r="H41" s="147">
        <f t="shared" si="12"/>
        <v>5558.7811769127584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32633.495488384877</v>
      </c>
      <c r="E42" s="164">
        <f>IF(+I14&lt;F41,I14,D42)</f>
        <v>1813.7750000000001</v>
      </c>
      <c r="F42" s="163">
        <f t="shared" si="10"/>
        <v>30819.720488384875</v>
      </c>
      <c r="G42" s="165">
        <f t="shared" si="11"/>
        <v>5356.2611704810406</v>
      </c>
      <c r="H42" s="147">
        <f t="shared" si="12"/>
        <v>5356.2611704810406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30819.720488384875</v>
      </c>
      <c r="E43" s="164">
        <f>IF(+I14&lt;F42,I14,D43)</f>
        <v>1813.7750000000001</v>
      </c>
      <c r="F43" s="163">
        <f t="shared" si="10"/>
        <v>29005.945488384874</v>
      </c>
      <c r="G43" s="165">
        <f t="shared" si="11"/>
        <v>5153.7411640493247</v>
      </c>
      <c r="H43" s="147">
        <f t="shared" si="12"/>
        <v>5153.7411640493247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29005.945488384874</v>
      </c>
      <c r="E44" s="164">
        <f>IF(+I14&lt;F43,I14,D44)</f>
        <v>1813.7750000000001</v>
      </c>
      <c r="F44" s="163">
        <f t="shared" si="10"/>
        <v>27192.170488384872</v>
      </c>
      <c r="G44" s="165">
        <f t="shared" si="11"/>
        <v>4951.2211576176078</v>
      </c>
      <c r="H44" s="147">
        <f t="shared" si="12"/>
        <v>4951.2211576176078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27192.170488384872</v>
      </c>
      <c r="E45" s="164">
        <f>IF(+I14&lt;F44,I14,D45)</f>
        <v>1813.7750000000001</v>
      </c>
      <c r="F45" s="163">
        <f t="shared" si="10"/>
        <v>25378.395488384871</v>
      </c>
      <c r="G45" s="165">
        <f t="shared" si="11"/>
        <v>4748.7011511858909</v>
      </c>
      <c r="H45" s="147">
        <f t="shared" si="12"/>
        <v>4748.7011511858909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25378.395488384871</v>
      </c>
      <c r="E46" s="164">
        <f>IF(+I14&lt;F45,I14,D46)</f>
        <v>1813.7750000000001</v>
      </c>
      <c r="F46" s="163">
        <f t="shared" si="10"/>
        <v>23564.62048838487</v>
      </c>
      <c r="G46" s="165">
        <f t="shared" si="11"/>
        <v>4546.181144754175</v>
      </c>
      <c r="H46" s="147">
        <f t="shared" si="12"/>
        <v>4546.181144754175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23564.62048838487</v>
      </c>
      <c r="E47" s="164">
        <f>IF(+I14&lt;F46,I14,D47)</f>
        <v>1813.7750000000001</v>
      </c>
      <c r="F47" s="163">
        <f t="shared" si="10"/>
        <v>21750.845488384868</v>
      </c>
      <c r="G47" s="165">
        <f t="shared" si="11"/>
        <v>4343.6611383224581</v>
      </c>
      <c r="H47" s="147">
        <f t="shared" si="12"/>
        <v>4343.6611383224581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21750.845488384868</v>
      </c>
      <c r="E48" s="164">
        <f>IF(+I14&lt;F47,I14,D48)</f>
        <v>1813.7750000000001</v>
      </c>
      <c r="F48" s="163">
        <f t="shared" si="10"/>
        <v>19937.070488384867</v>
      </c>
      <c r="G48" s="165">
        <f t="shared" si="11"/>
        <v>4141.1411318907412</v>
      </c>
      <c r="H48" s="147">
        <f t="shared" si="12"/>
        <v>4141.1411318907412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19937.070488384867</v>
      </c>
      <c r="E49" s="164">
        <f>IF(+I14&lt;F48,I14,D49)</f>
        <v>1813.7750000000001</v>
      </c>
      <c r="F49" s="163">
        <f t="shared" ref="F49:F72" si="13">+D49-E49</f>
        <v>18123.295488384865</v>
      </c>
      <c r="G49" s="165">
        <f t="shared" si="11"/>
        <v>3938.6211254590253</v>
      </c>
      <c r="H49" s="147">
        <f t="shared" si="12"/>
        <v>3938.6211254590253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18123.295488384865</v>
      </c>
      <c r="E50" s="164">
        <f>IF(+I14&lt;F49,I14,D50)</f>
        <v>1813.7750000000001</v>
      </c>
      <c r="F50" s="163">
        <f t="shared" si="13"/>
        <v>16309.520488384866</v>
      </c>
      <c r="G50" s="165">
        <f t="shared" si="11"/>
        <v>3736.1011190273084</v>
      </c>
      <c r="H50" s="147">
        <f t="shared" si="12"/>
        <v>3736.1011190273084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16309.520488384866</v>
      </c>
      <c r="E51" s="164">
        <f>IF(+I14&lt;F50,I14,D51)</f>
        <v>1813.7750000000001</v>
      </c>
      <c r="F51" s="163">
        <f t="shared" si="13"/>
        <v>14495.745488384866</v>
      </c>
      <c r="G51" s="165">
        <f t="shared" si="11"/>
        <v>3533.5811125955925</v>
      </c>
      <c r="H51" s="147">
        <f t="shared" si="12"/>
        <v>3533.5811125955925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14495.745488384866</v>
      </c>
      <c r="E52" s="164">
        <f>IF(+I14&lt;F51,I14,D52)</f>
        <v>1813.7750000000001</v>
      </c>
      <c r="F52" s="163">
        <f t="shared" si="13"/>
        <v>12681.970488384866</v>
      </c>
      <c r="G52" s="165">
        <f t="shared" si="11"/>
        <v>3331.0611061638756</v>
      </c>
      <c r="H52" s="147">
        <f t="shared" si="12"/>
        <v>3331.0611061638756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12681.970488384866</v>
      </c>
      <c r="E53" s="164">
        <f>IF(+I14&lt;F52,I14,D53)</f>
        <v>1813.7750000000001</v>
      </c>
      <c r="F53" s="163">
        <f t="shared" si="13"/>
        <v>10868.195488384867</v>
      </c>
      <c r="G53" s="165">
        <f t="shared" si="11"/>
        <v>3128.5410997321596</v>
      </c>
      <c r="H53" s="147">
        <f t="shared" si="12"/>
        <v>3128.5410997321596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10868.195488384867</v>
      </c>
      <c r="E54" s="164">
        <f>IF(+I14&lt;F53,I14,D54)</f>
        <v>1813.7750000000001</v>
      </c>
      <c r="F54" s="163">
        <f t="shared" si="13"/>
        <v>9054.420488384867</v>
      </c>
      <c r="G54" s="165">
        <f t="shared" si="11"/>
        <v>2926.0210933004428</v>
      </c>
      <c r="H54" s="147">
        <f t="shared" si="12"/>
        <v>2926.0210933004428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9054.420488384867</v>
      </c>
      <c r="E55" s="164">
        <f>IF(+I14&lt;F54,I14,D55)</f>
        <v>1813.7750000000001</v>
      </c>
      <c r="F55" s="163">
        <f t="shared" si="13"/>
        <v>7240.6454883848673</v>
      </c>
      <c r="G55" s="165">
        <f t="shared" si="11"/>
        <v>2723.5010868687268</v>
      </c>
      <c r="H55" s="147">
        <f t="shared" si="12"/>
        <v>2723.5010868687268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7240.6454883848673</v>
      </c>
      <c r="E56" s="164">
        <f>IF(+I14&lt;F55,I14,D56)</f>
        <v>1813.7750000000001</v>
      </c>
      <c r="F56" s="163">
        <f t="shared" si="13"/>
        <v>5426.8704883848677</v>
      </c>
      <c r="G56" s="165">
        <f t="shared" si="11"/>
        <v>2520.9810804370104</v>
      </c>
      <c r="H56" s="147">
        <f t="shared" si="12"/>
        <v>2520.9810804370104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5426.8704883848677</v>
      </c>
      <c r="E57" s="164">
        <f>IF(+I14&lt;F56,I14,D57)</f>
        <v>1813.7750000000001</v>
      </c>
      <c r="F57" s="163">
        <f t="shared" si="13"/>
        <v>3613.0954883848676</v>
      </c>
      <c r="G57" s="165">
        <f t="shared" si="11"/>
        <v>2318.461074005294</v>
      </c>
      <c r="H57" s="147">
        <f t="shared" si="12"/>
        <v>2318.461074005294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3613.0954883848676</v>
      </c>
      <c r="E58" s="164">
        <f>IF(+I14&lt;F57,I14,D58)</f>
        <v>1813.7750000000001</v>
      </c>
      <c r="F58" s="163">
        <f t="shared" si="13"/>
        <v>1799.3204883848675</v>
      </c>
      <c r="G58" s="165">
        <f t="shared" si="11"/>
        <v>2115.9410675735776</v>
      </c>
      <c r="H58" s="147">
        <f t="shared" si="12"/>
        <v>2115.9410675735776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1799.3204883848675</v>
      </c>
      <c r="E59" s="164">
        <f>IF(+I14&lt;F58,I14,D59)</f>
        <v>1799.3204883848675</v>
      </c>
      <c r="F59" s="163">
        <f t="shared" si="13"/>
        <v>0</v>
      </c>
      <c r="G59" s="165">
        <f t="shared" si="11"/>
        <v>1899.7735205637273</v>
      </c>
      <c r="H59" s="147">
        <f t="shared" si="12"/>
        <v>1899.7735205637273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72551.000000000015</v>
      </c>
      <c r="F73" s="115"/>
      <c r="G73" s="115">
        <f>SUM(G17:G72)</f>
        <v>277507.74035268766</v>
      </c>
      <c r="H73" s="115">
        <f>SUM(H17:H72)</f>
        <v>277507.74035268766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9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8936.0194583135126</v>
      </c>
      <c r="N87" s="202">
        <f>IF(J92&lt;D11,0,VLOOKUP(J92,C17:O72,11))</f>
        <v>8936.0194583135126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9076.8382024367129</v>
      </c>
      <c r="N88" s="204">
        <f>IF(J92&lt;D11,0,VLOOKUP(J92,C99:P154,7))</f>
        <v>9076.8382024367129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Tulsa Southeast Upgrade (repl switches)*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140.8187441232003</v>
      </c>
      <c r="N89" s="207">
        <f>+N88-N87</f>
        <v>140.8187441232003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TP2004033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72551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1577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2007</v>
      </c>
      <c r="D99" s="366">
        <v>0</v>
      </c>
      <c r="E99" s="368">
        <v>0</v>
      </c>
      <c r="F99" s="371">
        <v>72551</v>
      </c>
      <c r="G99" s="373">
        <v>36276</v>
      </c>
      <c r="H99" s="374">
        <v>5762</v>
      </c>
      <c r="I99" s="375">
        <v>5762</v>
      </c>
      <c r="J99" s="162">
        <f t="shared" ref="J99:J130" si="18">+I99-H99</f>
        <v>0</v>
      </c>
      <c r="K99" s="162"/>
      <c r="L99" s="337">
        <v>0</v>
      </c>
      <c r="M99" s="161">
        <f t="shared" ref="M99:M130" si="19">IF(L99&lt;&gt;0,+H99-L99,0)</f>
        <v>0</v>
      </c>
      <c r="N99" s="337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6">
        <v>72551</v>
      </c>
      <c r="E100" s="372">
        <v>1369</v>
      </c>
      <c r="F100" s="371">
        <v>71182</v>
      </c>
      <c r="G100" s="371">
        <v>71867</v>
      </c>
      <c r="H100" s="368">
        <v>12785</v>
      </c>
      <c r="I100" s="370">
        <v>12785</v>
      </c>
      <c r="J100" s="162">
        <f t="shared" si="18"/>
        <v>0</v>
      </c>
      <c r="K100" s="162"/>
      <c r="L100" s="338">
        <v>12785</v>
      </c>
      <c r="M100" s="162">
        <f t="shared" si="19"/>
        <v>0</v>
      </c>
      <c r="N100" s="338">
        <v>12785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2009</v>
      </c>
      <c r="D101" s="366">
        <v>71182</v>
      </c>
      <c r="E101" s="368">
        <v>1296</v>
      </c>
      <c r="F101" s="371">
        <v>69886</v>
      </c>
      <c r="G101" s="371">
        <v>70534</v>
      </c>
      <c r="H101" s="368">
        <v>11608.65494705257</v>
      </c>
      <c r="I101" s="370">
        <v>11608.65494705257</v>
      </c>
      <c r="J101" s="162">
        <f t="shared" si="18"/>
        <v>0</v>
      </c>
      <c r="K101" s="162"/>
      <c r="L101" s="380">
        <f t="shared" ref="L101:L106" si="23">H101</f>
        <v>11608.65494705257</v>
      </c>
      <c r="M101" s="381">
        <f t="shared" si="19"/>
        <v>0</v>
      </c>
      <c r="N101" s="380">
        <f t="shared" ref="N101:N106" si="24">I101</f>
        <v>11608.65494705257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2010</v>
      </c>
      <c r="D102" s="366">
        <v>69886</v>
      </c>
      <c r="E102" s="368">
        <v>1423</v>
      </c>
      <c r="F102" s="371">
        <v>68463</v>
      </c>
      <c r="G102" s="371">
        <v>69174.5</v>
      </c>
      <c r="H102" s="368">
        <v>12547.312556925655</v>
      </c>
      <c r="I102" s="370">
        <v>12547.312556925655</v>
      </c>
      <c r="J102" s="162">
        <f t="shared" si="18"/>
        <v>0</v>
      </c>
      <c r="K102" s="162"/>
      <c r="L102" s="380">
        <f t="shared" si="23"/>
        <v>12547.312556925655</v>
      </c>
      <c r="M102" s="381">
        <f t="shared" si="19"/>
        <v>0</v>
      </c>
      <c r="N102" s="380">
        <f t="shared" si="24"/>
        <v>12547.312556925655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2011</v>
      </c>
      <c r="D103" s="366">
        <v>68463</v>
      </c>
      <c r="E103" s="368">
        <v>1395</v>
      </c>
      <c r="F103" s="371">
        <v>67068</v>
      </c>
      <c r="G103" s="371">
        <v>67765.5</v>
      </c>
      <c r="H103" s="368">
        <v>10869.52752826227</v>
      </c>
      <c r="I103" s="370">
        <v>10869.52752826227</v>
      </c>
      <c r="J103" s="162">
        <f t="shared" si="18"/>
        <v>0</v>
      </c>
      <c r="K103" s="162"/>
      <c r="L103" s="380">
        <f t="shared" si="23"/>
        <v>10869.52752826227</v>
      </c>
      <c r="M103" s="381">
        <f t="shared" si="19"/>
        <v>0</v>
      </c>
      <c r="N103" s="380">
        <f t="shared" si="24"/>
        <v>10869.52752826227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2012</v>
      </c>
      <c r="D104" s="366">
        <v>67068</v>
      </c>
      <c r="E104" s="368">
        <v>1395</v>
      </c>
      <c r="F104" s="371">
        <v>65673</v>
      </c>
      <c r="G104" s="371">
        <v>66370.5</v>
      </c>
      <c r="H104" s="368">
        <v>10942.760254640152</v>
      </c>
      <c r="I104" s="370">
        <v>10942.760254640152</v>
      </c>
      <c r="J104" s="162">
        <v>0</v>
      </c>
      <c r="K104" s="162"/>
      <c r="L104" s="380">
        <f t="shared" si="23"/>
        <v>10942.760254640152</v>
      </c>
      <c r="M104" s="381">
        <f>IF(L104&lt;&gt;0,+H104-L104,0)</f>
        <v>0</v>
      </c>
      <c r="N104" s="380">
        <f t="shared" si="24"/>
        <v>10942.760254640152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2"/>
        <v/>
      </c>
      <c r="C105" s="157">
        <f>IF(D93="","-",+C104+1)</f>
        <v>2013</v>
      </c>
      <c r="D105" s="366">
        <v>65673</v>
      </c>
      <c r="E105" s="368">
        <v>1395</v>
      </c>
      <c r="F105" s="371">
        <v>64278</v>
      </c>
      <c r="G105" s="371">
        <v>64975.5</v>
      </c>
      <c r="H105" s="368">
        <v>10747.547086020993</v>
      </c>
      <c r="I105" s="370">
        <v>10747.547086020993</v>
      </c>
      <c r="J105" s="162">
        <v>0</v>
      </c>
      <c r="K105" s="162"/>
      <c r="L105" s="380">
        <f t="shared" si="23"/>
        <v>10747.547086020993</v>
      </c>
      <c r="M105" s="381">
        <f>IF(L105&lt;&gt;0,+H105-L105,0)</f>
        <v>0</v>
      </c>
      <c r="N105" s="380">
        <f t="shared" si="24"/>
        <v>10747.547086020993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2"/>
        <v/>
      </c>
      <c r="C106" s="157">
        <f>IF(D93="","-",+C105+1)</f>
        <v>2014</v>
      </c>
      <c r="D106" s="366">
        <v>64278</v>
      </c>
      <c r="E106" s="368">
        <v>1395</v>
      </c>
      <c r="F106" s="371">
        <v>62883</v>
      </c>
      <c r="G106" s="371">
        <v>63580.5</v>
      </c>
      <c r="H106" s="368">
        <v>10334.158398344916</v>
      </c>
      <c r="I106" s="370">
        <v>10334.158398344916</v>
      </c>
      <c r="J106" s="162">
        <v>0</v>
      </c>
      <c r="K106" s="162"/>
      <c r="L106" s="380">
        <f t="shared" si="23"/>
        <v>10334.158398344916</v>
      </c>
      <c r="M106" s="381">
        <f>IF(L106&lt;&gt;0,+H106-L106,0)</f>
        <v>0</v>
      </c>
      <c r="N106" s="380">
        <f t="shared" si="24"/>
        <v>10334.158398344916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2"/>
        <v/>
      </c>
      <c r="C107" s="157">
        <f>IF(D93="","-",+C106+1)</f>
        <v>2015</v>
      </c>
      <c r="D107" s="366">
        <v>62883</v>
      </c>
      <c r="E107" s="368">
        <v>1395</v>
      </c>
      <c r="F107" s="371">
        <v>61488</v>
      </c>
      <c r="G107" s="371">
        <v>62185.5</v>
      </c>
      <c r="H107" s="368">
        <v>9879.7114789405332</v>
      </c>
      <c r="I107" s="370">
        <v>9879.7114789405332</v>
      </c>
      <c r="J107" s="162">
        <f t="shared" si="18"/>
        <v>0</v>
      </c>
      <c r="K107" s="162"/>
      <c r="L107" s="380">
        <f>H107</f>
        <v>9879.7114789405332</v>
      </c>
      <c r="M107" s="381">
        <f>IF(L107&lt;&gt;0,+H107-L107,0)</f>
        <v>0</v>
      </c>
      <c r="N107" s="380">
        <f>I107</f>
        <v>9879.7114789405332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2"/>
        <v/>
      </c>
      <c r="C108" s="157">
        <f>IF(D93="","-",+C107+1)</f>
        <v>2016</v>
      </c>
      <c r="D108" s="366">
        <v>61488</v>
      </c>
      <c r="E108" s="368">
        <v>1577</v>
      </c>
      <c r="F108" s="371">
        <v>59911</v>
      </c>
      <c r="G108" s="371">
        <v>60699.5</v>
      </c>
      <c r="H108" s="368">
        <v>9402.1214987986186</v>
      </c>
      <c r="I108" s="370">
        <v>9402.1214987986186</v>
      </c>
      <c r="J108" s="162">
        <v>0</v>
      </c>
      <c r="K108" s="162"/>
      <c r="L108" s="380">
        <f>H108</f>
        <v>9402.1214987986186</v>
      </c>
      <c r="M108" s="381">
        <f>IF(L108&lt;&gt;0,+H108-L108,0)</f>
        <v>0</v>
      </c>
      <c r="N108" s="380">
        <f>I108</f>
        <v>9402.1214987986186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22"/>
        <v/>
      </c>
      <c r="C109" s="157">
        <f>IF(D93="","-",+C108+1)</f>
        <v>2017</v>
      </c>
      <c r="D109" s="158">
        <f>IF(F108+SUM(E$99:E108)=D$92,F108,D$92-SUM(E$99:E108))</f>
        <v>59911</v>
      </c>
      <c r="E109" s="165">
        <f>IF(+J96&lt;F108,J96,D109)</f>
        <v>1577</v>
      </c>
      <c r="F109" s="163">
        <f t="shared" ref="F109:F154" si="25">+D109-E109</f>
        <v>58334</v>
      </c>
      <c r="G109" s="163">
        <f t="shared" ref="G109:G154" si="26">+(F109+D109)/2</f>
        <v>59122.5</v>
      </c>
      <c r="H109" s="167">
        <f t="shared" ref="H109:H154" si="27">+J$94*G109+E109</f>
        <v>9076.8382024367129</v>
      </c>
      <c r="I109" s="317">
        <f t="shared" ref="I109:I154" si="28">+J$95*G109+E109</f>
        <v>9076.8382024367129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2"/>
        <v/>
      </c>
      <c r="C110" s="157">
        <f>IF(D93="","-",+C109+1)</f>
        <v>2018</v>
      </c>
      <c r="D110" s="158">
        <f>IF(F109+SUM(E$99:E109)=D$92,F109,D$92-SUM(E$99:E109))</f>
        <v>58334</v>
      </c>
      <c r="E110" s="165">
        <f>IF(+J96&lt;F109,J96,D110)</f>
        <v>1577</v>
      </c>
      <c r="F110" s="163">
        <f t="shared" si="25"/>
        <v>56757</v>
      </c>
      <c r="G110" s="163">
        <f t="shared" si="26"/>
        <v>57545.5</v>
      </c>
      <c r="H110" s="167">
        <f t="shared" si="27"/>
        <v>8876.7917760298005</v>
      </c>
      <c r="I110" s="317">
        <f t="shared" si="28"/>
        <v>8876.7917760298005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2019</v>
      </c>
      <c r="D111" s="158">
        <f>IF(F110+SUM(E$99:E110)=D$92,F110,D$92-SUM(E$99:E110))</f>
        <v>56757</v>
      </c>
      <c r="E111" s="165">
        <f>IF(+J96&lt;F110,J96,D111)</f>
        <v>1577</v>
      </c>
      <c r="F111" s="163">
        <f t="shared" si="25"/>
        <v>55180</v>
      </c>
      <c r="G111" s="163">
        <f t="shared" si="26"/>
        <v>55968.5</v>
      </c>
      <c r="H111" s="167">
        <f t="shared" si="27"/>
        <v>8676.7453496228882</v>
      </c>
      <c r="I111" s="317">
        <f t="shared" si="28"/>
        <v>8676.7453496228882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2020</v>
      </c>
      <c r="D112" s="158">
        <f>IF(F111+SUM(E$99:E111)=D$92,F111,D$92-SUM(E$99:E111))</f>
        <v>55180</v>
      </c>
      <c r="E112" s="165">
        <f>IF(+J96&lt;F111,J96,D112)</f>
        <v>1577</v>
      </c>
      <c r="F112" s="163">
        <f t="shared" si="25"/>
        <v>53603</v>
      </c>
      <c r="G112" s="163">
        <f t="shared" si="26"/>
        <v>54391.5</v>
      </c>
      <c r="H112" s="167">
        <f t="shared" si="27"/>
        <v>8476.6989232159758</v>
      </c>
      <c r="I112" s="317">
        <f t="shared" si="28"/>
        <v>8476.6989232159758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2021</v>
      </c>
      <c r="D113" s="158">
        <f>IF(F112+SUM(E$99:E112)=D$92,F112,D$92-SUM(E$99:E112))</f>
        <v>53603</v>
      </c>
      <c r="E113" s="165">
        <f>IF(+J96&lt;F112,J96,D113)</f>
        <v>1577</v>
      </c>
      <c r="F113" s="163">
        <f t="shared" si="25"/>
        <v>52026</v>
      </c>
      <c r="G113" s="163">
        <f t="shared" si="26"/>
        <v>52814.5</v>
      </c>
      <c r="H113" s="167">
        <f t="shared" si="27"/>
        <v>8276.6524968090635</v>
      </c>
      <c r="I113" s="317">
        <f t="shared" si="28"/>
        <v>8276.6524968090635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2022</v>
      </c>
      <c r="D114" s="158">
        <f>IF(F113+SUM(E$99:E113)=D$92,F113,D$92-SUM(E$99:E113))</f>
        <v>52026</v>
      </c>
      <c r="E114" s="165">
        <f>IF(+J96&lt;F113,J96,D114)</f>
        <v>1577</v>
      </c>
      <c r="F114" s="163">
        <f t="shared" si="25"/>
        <v>50449</v>
      </c>
      <c r="G114" s="163">
        <f t="shared" si="26"/>
        <v>51237.5</v>
      </c>
      <c r="H114" s="167">
        <f t="shared" si="27"/>
        <v>8076.6060704021493</v>
      </c>
      <c r="I114" s="317">
        <f t="shared" si="28"/>
        <v>8076.6060704021493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2023</v>
      </c>
      <c r="D115" s="158">
        <f>IF(F114+SUM(E$99:E114)=D$92,F114,D$92-SUM(E$99:E114))</f>
        <v>50449</v>
      </c>
      <c r="E115" s="165">
        <f>IF(+J96&lt;F114,J96,D115)</f>
        <v>1577</v>
      </c>
      <c r="F115" s="163">
        <f t="shared" si="25"/>
        <v>48872</v>
      </c>
      <c r="G115" s="163">
        <f t="shared" si="26"/>
        <v>49660.5</v>
      </c>
      <c r="H115" s="167">
        <f t="shared" si="27"/>
        <v>7876.5596439952369</v>
      </c>
      <c r="I115" s="317">
        <f t="shared" si="28"/>
        <v>7876.5596439952369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2024</v>
      </c>
      <c r="D116" s="158">
        <f>IF(F115+SUM(E$99:E115)=D$92,F115,D$92-SUM(E$99:E115))</f>
        <v>48872</v>
      </c>
      <c r="E116" s="165">
        <f>IF(+J96&lt;F115,J96,D116)</f>
        <v>1577</v>
      </c>
      <c r="F116" s="163">
        <f t="shared" si="25"/>
        <v>47295</v>
      </c>
      <c r="G116" s="163">
        <f t="shared" si="26"/>
        <v>48083.5</v>
      </c>
      <c r="H116" s="167">
        <f t="shared" si="27"/>
        <v>7676.5132175883246</v>
      </c>
      <c r="I116" s="317">
        <f t="shared" si="28"/>
        <v>7676.5132175883246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2025</v>
      </c>
      <c r="D117" s="158">
        <f>IF(F116+SUM(E$99:E116)=D$92,F116,D$92-SUM(E$99:E116))</f>
        <v>47295</v>
      </c>
      <c r="E117" s="165">
        <f>IF(+J96&lt;F116,J96,D117)</f>
        <v>1577</v>
      </c>
      <c r="F117" s="163">
        <f t="shared" si="25"/>
        <v>45718</v>
      </c>
      <c r="G117" s="163">
        <f t="shared" si="26"/>
        <v>46506.5</v>
      </c>
      <c r="H117" s="167">
        <f t="shared" si="27"/>
        <v>7476.4667911814113</v>
      </c>
      <c r="I117" s="317">
        <f t="shared" si="28"/>
        <v>7476.4667911814113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2026</v>
      </c>
      <c r="D118" s="158">
        <f>IF(F117+SUM(E$99:E117)=D$92,F117,D$92-SUM(E$99:E117))</f>
        <v>45718</v>
      </c>
      <c r="E118" s="165">
        <f>IF(+J96&lt;F117,J96,D118)</f>
        <v>1577</v>
      </c>
      <c r="F118" s="163">
        <f t="shared" si="25"/>
        <v>44141</v>
      </c>
      <c r="G118" s="163">
        <f t="shared" si="26"/>
        <v>44929.5</v>
      </c>
      <c r="H118" s="167">
        <f t="shared" si="27"/>
        <v>7276.4203647744989</v>
      </c>
      <c r="I118" s="317">
        <f t="shared" si="28"/>
        <v>7276.4203647744989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2027</v>
      </c>
      <c r="D119" s="158">
        <f>IF(F118+SUM(E$99:E118)=D$92,F118,D$92-SUM(E$99:E118))</f>
        <v>44141</v>
      </c>
      <c r="E119" s="165">
        <f>IF(+J96&lt;F118,J96,D119)</f>
        <v>1577</v>
      </c>
      <c r="F119" s="163">
        <f t="shared" si="25"/>
        <v>42564</v>
      </c>
      <c r="G119" s="163">
        <f t="shared" si="26"/>
        <v>43352.5</v>
      </c>
      <c r="H119" s="167">
        <f t="shared" si="27"/>
        <v>7076.3739383675857</v>
      </c>
      <c r="I119" s="317">
        <f t="shared" si="28"/>
        <v>7076.3739383675857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2028</v>
      </c>
      <c r="D120" s="158">
        <f>IF(F119+SUM(E$99:E119)=D$92,F119,D$92-SUM(E$99:E119))</f>
        <v>42564</v>
      </c>
      <c r="E120" s="165">
        <f>IF(+J96&lt;F119,J96,D120)</f>
        <v>1577</v>
      </c>
      <c r="F120" s="163">
        <f t="shared" si="25"/>
        <v>40987</v>
      </c>
      <c r="G120" s="163">
        <f t="shared" si="26"/>
        <v>41775.5</v>
      </c>
      <c r="H120" s="167">
        <f t="shared" si="27"/>
        <v>6876.3275119606733</v>
      </c>
      <c r="I120" s="317">
        <f t="shared" si="28"/>
        <v>6876.3275119606733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2029</v>
      </c>
      <c r="D121" s="158">
        <f>IF(F120+SUM(E$99:E120)=D$92,F120,D$92-SUM(E$99:E120))</f>
        <v>40987</v>
      </c>
      <c r="E121" s="165">
        <f>IF(+J96&lt;F120,J96,D121)</f>
        <v>1577</v>
      </c>
      <c r="F121" s="163">
        <f t="shared" si="25"/>
        <v>39410</v>
      </c>
      <c r="G121" s="163">
        <f t="shared" si="26"/>
        <v>40198.5</v>
      </c>
      <c r="H121" s="167">
        <f t="shared" si="27"/>
        <v>6676.2810855537609</v>
      </c>
      <c r="I121" s="317">
        <f t="shared" si="28"/>
        <v>6676.2810855537609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2030</v>
      </c>
      <c r="D122" s="158">
        <f>IF(F121+SUM(E$99:E121)=D$92,F121,D$92-SUM(E$99:E121))</f>
        <v>39410</v>
      </c>
      <c r="E122" s="165">
        <f>IF(+J96&lt;F121,J96,D122)</f>
        <v>1577</v>
      </c>
      <c r="F122" s="163">
        <f t="shared" si="25"/>
        <v>37833</v>
      </c>
      <c r="G122" s="163">
        <f t="shared" si="26"/>
        <v>38621.5</v>
      </c>
      <c r="H122" s="167">
        <f t="shared" si="27"/>
        <v>6476.2346591468477</v>
      </c>
      <c r="I122" s="317">
        <f t="shared" si="28"/>
        <v>6476.2346591468477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2031</v>
      </c>
      <c r="D123" s="158">
        <f>IF(F122+SUM(E$99:E122)=D$92,F122,D$92-SUM(E$99:E122))</f>
        <v>37833</v>
      </c>
      <c r="E123" s="165">
        <f>IF(+J96&lt;F122,J96,D123)</f>
        <v>1577</v>
      </c>
      <c r="F123" s="163">
        <f t="shared" si="25"/>
        <v>36256</v>
      </c>
      <c r="G123" s="163">
        <f t="shared" si="26"/>
        <v>37044.5</v>
      </c>
      <c r="H123" s="167">
        <f t="shared" si="27"/>
        <v>6276.1882327399353</v>
      </c>
      <c r="I123" s="317">
        <f t="shared" si="28"/>
        <v>6276.1882327399353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2032</v>
      </c>
      <c r="D124" s="158">
        <f>IF(F123+SUM(E$99:E123)=D$92,F123,D$92-SUM(E$99:E123))</f>
        <v>36256</v>
      </c>
      <c r="E124" s="165">
        <f>IF(+J96&lt;F123,J96,D124)</f>
        <v>1577</v>
      </c>
      <c r="F124" s="163">
        <f t="shared" si="25"/>
        <v>34679</v>
      </c>
      <c r="G124" s="163">
        <f t="shared" si="26"/>
        <v>35467.5</v>
      </c>
      <c r="H124" s="167">
        <f t="shared" si="27"/>
        <v>6076.1418063330229</v>
      </c>
      <c r="I124" s="317">
        <f t="shared" si="28"/>
        <v>6076.1418063330229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2033</v>
      </c>
      <c r="D125" s="158">
        <f>IF(F124+SUM(E$99:E124)=D$92,F124,D$92-SUM(E$99:E124))</f>
        <v>34679</v>
      </c>
      <c r="E125" s="165">
        <f>IF(+J96&lt;F124,J96,D125)</f>
        <v>1577</v>
      </c>
      <c r="F125" s="163">
        <f t="shared" si="25"/>
        <v>33102</v>
      </c>
      <c r="G125" s="163">
        <f t="shared" si="26"/>
        <v>33890.5</v>
      </c>
      <c r="H125" s="167">
        <f t="shared" si="27"/>
        <v>5876.0953799261097</v>
      </c>
      <c r="I125" s="317">
        <f t="shared" si="28"/>
        <v>5876.0953799261097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2034</v>
      </c>
      <c r="D126" s="158">
        <f>IF(F125+SUM(E$99:E125)=D$92,F125,D$92-SUM(E$99:E125))</f>
        <v>33102</v>
      </c>
      <c r="E126" s="165">
        <f>IF(+J96&lt;F125,J96,D126)</f>
        <v>1577</v>
      </c>
      <c r="F126" s="163">
        <f t="shared" si="25"/>
        <v>31525</v>
      </c>
      <c r="G126" s="163">
        <f t="shared" si="26"/>
        <v>32313.5</v>
      </c>
      <c r="H126" s="167">
        <f t="shared" si="27"/>
        <v>5676.0489535191973</v>
      </c>
      <c r="I126" s="317">
        <f t="shared" si="28"/>
        <v>5676.0489535191973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2035</v>
      </c>
      <c r="D127" s="158">
        <f>IF(F126+SUM(E$99:E126)=D$92,F126,D$92-SUM(E$99:E126))</f>
        <v>31525</v>
      </c>
      <c r="E127" s="165">
        <f>IF(+J96&lt;F126,J96,D127)</f>
        <v>1577</v>
      </c>
      <c r="F127" s="163">
        <f t="shared" si="25"/>
        <v>29948</v>
      </c>
      <c r="G127" s="163">
        <f t="shared" si="26"/>
        <v>30736.5</v>
      </c>
      <c r="H127" s="167">
        <f t="shared" si="27"/>
        <v>5476.002527112285</v>
      </c>
      <c r="I127" s="317">
        <f t="shared" si="28"/>
        <v>5476.002527112285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2036</v>
      </c>
      <c r="D128" s="158">
        <f>IF(F127+SUM(E$99:E127)=D$92,F127,D$92-SUM(E$99:E127))</f>
        <v>29948</v>
      </c>
      <c r="E128" s="165">
        <f>IF(+J96&lt;F127,J96,D128)</f>
        <v>1577</v>
      </c>
      <c r="F128" s="163">
        <f t="shared" si="25"/>
        <v>28371</v>
      </c>
      <c r="G128" s="163">
        <f t="shared" si="26"/>
        <v>29159.5</v>
      </c>
      <c r="H128" s="167">
        <f t="shared" si="27"/>
        <v>5275.9561007053717</v>
      </c>
      <c r="I128" s="317">
        <f t="shared" si="28"/>
        <v>5275.9561007053717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2037</v>
      </c>
      <c r="D129" s="158">
        <f>IF(F128+SUM(E$99:E128)=D$92,F128,D$92-SUM(E$99:E128))</f>
        <v>28371</v>
      </c>
      <c r="E129" s="165">
        <f>IF(+J96&lt;F128,J96,D129)</f>
        <v>1577</v>
      </c>
      <c r="F129" s="163">
        <f t="shared" si="25"/>
        <v>26794</v>
      </c>
      <c r="G129" s="163">
        <f t="shared" si="26"/>
        <v>27582.5</v>
      </c>
      <c r="H129" s="167">
        <f t="shared" si="27"/>
        <v>5075.9096742984584</v>
      </c>
      <c r="I129" s="317">
        <f t="shared" si="28"/>
        <v>5075.9096742984584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2038</v>
      </c>
      <c r="D130" s="158">
        <f>IF(F129+SUM(E$99:E129)=D$92,F129,D$92-SUM(E$99:E129))</f>
        <v>26794</v>
      </c>
      <c r="E130" s="165">
        <f>IF(+J96&lt;F129,J96,D130)</f>
        <v>1577</v>
      </c>
      <c r="F130" s="163">
        <f t="shared" si="25"/>
        <v>25217</v>
      </c>
      <c r="G130" s="163">
        <f t="shared" si="26"/>
        <v>26005.5</v>
      </c>
      <c r="H130" s="167">
        <f t="shared" si="27"/>
        <v>4875.8632478915461</v>
      </c>
      <c r="I130" s="317">
        <f t="shared" si="28"/>
        <v>4875.8632478915461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2039</v>
      </c>
      <c r="D131" s="158">
        <f>IF(F130+SUM(E$99:E130)=D$92,F130,D$92-SUM(E$99:E130))</f>
        <v>25217</v>
      </c>
      <c r="E131" s="165">
        <f>IF(+J96&lt;F130,J96,D131)</f>
        <v>1577</v>
      </c>
      <c r="F131" s="163">
        <f t="shared" si="25"/>
        <v>23640</v>
      </c>
      <c r="G131" s="163">
        <f t="shared" si="26"/>
        <v>24428.5</v>
      </c>
      <c r="H131" s="167">
        <f t="shared" si="27"/>
        <v>4675.8168214846337</v>
      </c>
      <c r="I131" s="317">
        <f t="shared" si="28"/>
        <v>4675.8168214846337</v>
      </c>
      <c r="J131" s="162">
        <f t="shared" ref="J131:J154" si="29">+I541-H541</f>
        <v>0</v>
      </c>
      <c r="K131" s="162"/>
      <c r="L131" s="335"/>
      <c r="M131" s="162">
        <f t="shared" ref="M131:M154" si="30">IF(L541&lt;&gt;0,+H541-L541,0)</f>
        <v>0</v>
      </c>
      <c r="N131" s="335"/>
      <c r="O131" s="162">
        <f t="shared" ref="O131:O154" si="31">IF(N541&lt;&gt;0,+I541-N541,0)</f>
        <v>0</v>
      </c>
      <c r="P131" s="162">
        <f t="shared" ref="P131:P154" si="32">+O541-M541</f>
        <v>0</v>
      </c>
    </row>
    <row r="132" spans="2:16">
      <c r="B132" s="9" t="str">
        <f t="shared" si="22"/>
        <v/>
      </c>
      <c r="C132" s="157">
        <f>IF(D93="","-",+C131+1)</f>
        <v>2040</v>
      </c>
      <c r="D132" s="158">
        <f>IF(F131+SUM(E$99:E131)=D$92,F131,D$92-SUM(E$99:E131))</f>
        <v>23640</v>
      </c>
      <c r="E132" s="165">
        <f>IF(+J96&lt;F131,J96,D132)</f>
        <v>1577</v>
      </c>
      <c r="F132" s="163">
        <f t="shared" si="25"/>
        <v>22063</v>
      </c>
      <c r="G132" s="163">
        <f t="shared" si="26"/>
        <v>22851.5</v>
      </c>
      <c r="H132" s="167">
        <f t="shared" si="27"/>
        <v>4475.7703950777213</v>
      </c>
      <c r="I132" s="317">
        <f t="shared" si="28"/>
        <v>4475.7703950777213</v>
      </c>
      <c r="J132" s="162">
        <f t="shared" si="29"/>
        <v>0</v>
      </c>
      <c r="K132" s="162"/>
      <c r="L132" s="335"/>
      <c r="M132" s="162">
        <f t="shared" si="30"/>
        <v>0</v>
      </c>
      <c r="N132" s="335"/>
      <c r="O132" s="162">
        <f t="shared" si="31"/>
        <v>0</v>
      </c>
      <c r="P132" s="162">
        <f t="shared" si="32"/>
        <v>0</v>
      </c>
    </row>
    <row r="133" spans="2:16">
      <c r="B133" s="9" t="str">
        <f t="shared" si="22"/>
        <v/>
      </c>
      <c r="C133" s="157">
        <f>IF(D93="","-",+C132+1)</f>
        <v>2041</v>
      </c>
      <c r="D133" s="158">
        <f>IF(F132+SUM(E$99:E132)=D$92,F132,D$92-SUM(E$99:E132))</f>
        <v>22063</v>
      </c>
      <c r="E133" s="165">
        <f>IF(+J96&lt;F132,J96,D133)</f>
        <v>1577</v>
      </c>
      <c r="F133" s="163">
        <f t="shared" si="25"/>
        <v>20486</v>
      </c>
      <c r="G133" s="163">
        <f t="shared" si="26"/>
        <v>21274.5</v>
      </c>
      <c r="H133" s="167">
        <f t="shared" si="27"/>
        <v>4275.7239686708081</v>
      </c>
      <c r="I133" s="317">
        <f t="shared" si="28"/>
        <v>4275.7239686708081</v>
      </c>
      <c r="J133" s="162">
        <f t="shared" si="29"/>
        <v>0</v>
      </c>
      <c r="K133" s="162"/>
      <c r="L133" s="335"/>
      <c r="M133" s="162">
        <f t="shared" si="30"/>
        <v>0</v>
      </c>
      <c r="N133" s="335"/>
      <c r="O133" s="162">
        <f t="shared" si="31"/>
        <v>0</v>
      </c>
      <c r="P133" s="162">
        <f t="shared" si="32"/>
        <v>0</v>
      </c>
    </row>
    <row r="134" spans="2:16">
      <c r="B134" s="9" t="str">
        <f t="shared" si="22"/>
        <v/>
      </c>
      <c r="C134" s="157">
        <f>IF(D93="","-",+C133+1)</f>
        <v>2042</v>
      </c>
      <c r="D134" s="158">
        <f>IF(F133+SUM(E$99:E133)=D$92,F133,D$92-SUM(E$99:E133))</f>
        <v>20486</v>
      </c>
      <c r="E134" s="165">
        <f>IF(+J96&lt;F133,J96,D134)</f>
        <v>1577</v>
      </c>
      <c r="F134" s="163">
        <f t="shared" si="25"/>
        <v>18909</v>
      </c>
      <c r="G134" s="163">
        <f t="shared" si="26"/>
        <v>19697.5</v>
      </c>
      <c r="H134" s="167">
        <f t="shared" si="27"/>
        <v>4075.6775422638952</v>
      </c>
      <c r="I134" s="317">
        <f t="shared" si="28"/>
        <v>4075.6775422638952</v>
      </c>
      <c r="J134" s="162">
        <f t="shared" si="29"/>
        <v>0</v>
      </c>
      <c r="K134" s="162"/>
      <c r="L134" s="335"/>
      <c r="M134" s="162">
        <f t="shared" si="30"/>
        <v>0</v>
      </c>
      <c r="N134" s="335"/>
      <c r="O134" s="162">
        <f t="shared" si="31"/>
        <v>0</v>
      </c>
      <c r="P134" s="162">
        <f t="shared" si="32"/>
        <v>0</v>
      </c>
    </row>
    <row r="135" spans="2:16">
      <c r="B135" s="9" t="str">
        <f t="shared" si="22"/>
        <v/>
      </c>
      <c r="C135" s="157">
        <f>IF(D93="","-",+C134+1)</f>
        <v>2043</v>
      </c>
      <c r="D135" s="158">
        <f>IF(F134+SUM(E$99:E134)=D$92,F134,D$92-SUM(E$99:E134))</f>
        <v>18909</v>
      </c>
      <c r="E135" s="165">
        <f>IF(+J96&lt;F134,J96,D135)</f>
        <v>1577</v>
      </c>
      <c r="F135" s="163">
        <f t="shared" si="25"/>
        <v>17332</v>
      </c>
      <c r="G135" s="163">
        <f t="shared" si="26"/>
        <v>18120.5</v>
      </c>
      <c r="H135" s="167">
        <f t="shared" si="27"/>
        <v>3875.6311158569829</v>
      </c>
      <c r="I135" s="317">
        <f t="shared" si="28"/>
        <v>3875.6311158569829</v>
      </c>
      <c r="J135" s="162">
        <f t="shared" si="29"/>
        <v>0</v>
      </c>
      <c r="K135" s="162"/>
      <c r="L135" s="335"/>
      <c r="M135" s="162">
        <f t="shared" si="30"/>
        <v>0</v>
      </c>
      <c r="N135" s="335"/>
      <c r="O135" s="162">
        <f t="shared" si="31"/>
        <v>0</v>
      </c>
      <c r="P135" s="162">
        <f t="shared" si="32"/>
        <v>0</v>
      </c>
    </row>
    <row r="136" spans="2:16">
      <c r="B136" s="9" t="str">
        <f t="shared" si="22"/>
        <v/>
      </c>
      <c r="C136" s="157">
        <f>IF(D93="","-",+C135+1)</f>
        <v>2044</v>
      </c>
      <c r="D136" s="158">
        <f>IF(F135+SUM(E$99:E135)=D$92,F135,D$92-SUM(E$99:E135))</f>
        <v>17332</v>
      </c>
      <c r="E136" s="165">
        <f>IF(+J96&lt;F135,J96,D136)</f>
        <v>1577</v>
      </c>
      <c r="F136" s="163">
        <f t="shared" si="25"/>
        <v>15755</v>
      </c>
      <c r="G136" s="163">
        <f t="shared" si="26"/>
        <v>16543.5</v>
      </c>
      <c r="H136" s="167">
        <f t="shared" si="27"/>
        <v>3675.5846894500701</v>
      </c>
      <c r="I136" s="317">
        <f t="shared" si="28"/>
        <v>3675.5846894500701</v>
      </c>
      <c r="J136" s="162">
        <f t="shared" si="29"/>
        <v>0</v>
      </c>
      <c r="K136" s="162"/>
      <c r="L136" s="335"/>
      <c r="M136" s="162">
        <f t="shared" si="30"/>
        <v>0</v>
      </c>
      <c r="N136" s="335"/>
      <c r="O136" s="162">
        <f t="shared" si="31"/>
        <v>0</v>
      </c>
      <c r="P136" s="162">
        <f t="shared" si="32"/>
        <v>0</v>
      </c>
    </row>
    <row r="137" spans="2:16">
      <c r="B137" s="9" t="str">
        <f t="shared" si="22"/>
        <v/>
      </c>
      <c r="C137" s="157">
        <f>IF(D93="","-",+C136+1)</f>
        <v>2045</v>
      </c>
      <c r="D137" s="158">
        <f>IF(F136+SUM(E$99:E136)=D$92,F136,D$92-SUM(E$99:E136))</f>
        <v>15755</v>
      </c>
      <c r="E137" s="165">
        <f>IF(+J96&lt;F136,J96,D137)</f>
        <v>1577</v>
      </c>
      <c r="F137" s="163">
        <f t="shared" si="25"/>
        <v>14178</v>
      </c>
      <c r="G137" s="163">
        <f t="shared" si="26"/>
        <v>14966.5</v>
      </c>
      <c r="H137" s="167">
        <f t="shared" si="27"/>
        <v>3475.5382630431573</v>
      </c>
      <c r="I137" s="317">
        <f t="shared" si="28"/>
        <v>3475.5382630431573</v>
      </c>
      <c r="J137" s="162">
        <f t="shared" si="29"/>
        <v>0</v>
      </c>
      <c r="K137" s="162"/>
      <c r="L137" s="335"/>
      <c r="M137" s="162">
        <f t="shared" si="30"/>
        <v>0</v>
      </c>
      <c r="N137" s="335"/>
      <c r="O137" s="162">
        <f t="shared" si="31"/>
        <v>0</v>
      </c>
      <c r="P137" s="162">
        <f t="shared" si="32"/>
        <v>0</v>
      </c>
    </row>
    <row r="138" spans="2:16">
      <c r="B138" s="9" t="str">
        <f t="shared" si="22"/>
        <v/>
      </c>
      <c r="C138" s="157">
        <f>IF(D93="","-",+C137+1)</f>
        <v>2046</v>
      </c>
      <c r="D138" s="158">
        <f>IF(F137+SUM(E$99:E137)=D$92,F137,D$92-SUM(E$99:E137))</f>
        <v>14178</v>
      </c>
      <c r="E138" s="165">
        <f>IF(+J96&lt;F137,J96,D138)</f>
        <v>1577</v>
      </c>
      <c r="F138" s="163">
        <f t="shared" si="25"/>
        <v>12601</v>
      </c>
      <c r="G138" s="163">
        <f t="shared" si="26"/>
        <v>13389.5</v>
      </c>
      <c r="H138" s="167">
        <f t="shared" si="27"/>
        <v>3275.4918366362444</v>
      </c>
      <c r="I138" s="317">
        <f t="shared" si="28"/>
        <v>3275.4918366362444</v>
      </c>
      <c r="J138" s="162">
        <f t="shared" si="29"/>
        <v>0</v>
      </c>
      <c r="K138" s="162"/>
      <c r="L138" s="335"/>
      <c r="M138" s="162">
        <f t="shared" si="30"/>
        <v>0</v>
      </c>
      <c r="N138" s="335"/>
      <c r="O138" s="162">
        <f t="shared" si="31"/>
        <v>0</v>
      </c>
      <c r="P138" s="162">
        <f t="shared" si="32"/>
        <v>0</v>
      </c>
    </row>
    <row r="139" spans="2:16">
      <c r="B139" s="9" t="str">
        <f t="shared" si="22"/>
        <v/>
      </c>
      <c r="C139" s="157">
        <f>IF(D93="","-",+C138+1)</f>
        <v>2047</v>
      </c>
      <c r="D139" s="158">
        <f>IF(F138+SUM(E$99:E138)=D$92,F138,D$92-SUM(E$99:E138))</f>
        <v>12601</v>
      </c>
      <c r="E139" s="165">
        <f>IF(+J96&lt;F138,J96,D139)</f>
        <v>1577</v>
      </c>
      <c r="F139" s="163">
        <f t="shared" si="25"/>
        <v>11024</v>
      </c>
      <c r="G139" s="163">
        <f t="shared" si="26"/>
        <v>11812.5</v>
      </c>
      <c r="H139" s="167">
        <f t="shared" si="27"/>
        <v>3075.4454102293321</v>
      </c>
      <c r="I139" s="317">
        <f t="shared" si="28"/>
        <v>3075.4454102293321</v>
      </c>
      <c r="J139" s="162">
        <f t="shared" si="29"/>
        <v>0</v>
      </c>
      <c r="K139" s="162"/>
      <c r="L139" s="335"/>
      <c r="M139" s="162">
        <f t="shared" si="30"/>
        <v>0</v>
      </c>
      <c r="N139" s="335"/>
      <c r="O139" s="162">
        <f t="shared" si="31"/>
        <v>0</v>
      </c>
      <c r="P139" s="162">
        <f t="shared" si="32"/>
        <v>0</v>
      </c>
    </row>
    <row r="140" spans="2:16">
      <c r="B140" s="9" t="str">
        <f t="shared" si="22"/>
        <v/>
      </c>
      <c r="C140" s="157">
        <f>IF(D93="","-",+C139+1)</f>
        <v>2048</v>
      </c>
      <c r="D140" s="158">
        <f>IF(F139+SUM(E$99:E139)=D$92,F139,D$92-SUM(E$99:E139))</f>
        <v>11024</v>
      </c>
      <c r="E140" s="165">
        <f>IF(+J96&lt;F139,J96,D140)</f>
        <v>1577</v>
      </c>
      <c r="F140" s="163">
        <f t="shared" si="25"/>
        <v>9447</v>
      </c>
      <c r="G140" s="163">
        <f t="shared" si="26"/>
        <v>10235.5</v>
      </c>
      <c r="H140" s="167">
        <f t="shared" si="27"/>
        <v>2875.3989838224193</v>
      </c>
      <c r="I140" s="317">
        <f t="shared" si="28"/>
        <v>2875.3989838224193</v>
      </c>
      <c r="J140" s="162">
        <f t="shared" si="29"/>
        <v>0</v>
      </c>
      <c r="K140" s="162"/>
      <c r="L140" s="335"/>
      <c r="M140" s="162">
        <f t="shared" si="30"/>
        <v>0</v>
      </c>
      <c r="N140" s="335"/>
      <c r="O140" s="162">
        <f t="shared" si="31"/>
        <v>0</v>
      </c>
      <c r="P140" s="162">
        <f t="shared" si="32"/>
        <v>0</v>
      </c>
    </row>
    <row r="141" spans="2:16">
      <c r="B141" s="9" t="str">
        <f t="shared" si="22"/>
        <v/>
      </c>
      <c r="C141" s="157">
        <f>IF(D93="","-",+C140+1)</f>
        <v>2049</v>
      </c>
      <c r="D141" s="158">
        <f>IF(F140+SUM(E$99:E140)=D$92,F140,D$92-SUM(E$99:E140))</f>
        <v>9447</v>
      </c>
      <c r="E141" s="165">
        <f>IF(+J96&lt;F140,J96,D141)</f>
        <v>1577</v>
      </c>
      <c r="F141" s="163">
        <f t="shared" si="25"/>
        <v>7870</v>
      </c>
      <c r="G141" s="163">
        <f t="shared" si="26"/>
        <v>8658.5</v>
      </c>
      <c r="H141" s="167">
        <f t="shared" si="27"/>
        <v>2675.3525574155065</v>
      </c>
      <c r="I141" s="317">
        <f t="shared" si="28"/>
        <v>2675.3525574155065</v>
      </c>
      <c r="J141" s="162">
        <f t="shared" si="29"/>
        <v>0</v>
      </c>
      <c r="K141" s="162"/>
      <c r="L141" s="335"/>
      <c r="M141" s="162">
        <f t="shared" si="30"/>
        <v>0</v>
      </c>
      <c r="N141" s="335"/>
      <c r="O141" s="162">
        <f t="shared" si="31"/>
        <v>0</v>
      </c>
      <c r="P141" s="162">
        <f t="shared" si="32"/>
        <v>0</v>
      </c>
    </row>
    <row r="142" spans="2:16">
      <c r="B142" s="9" t="str">
        <f t="shared" si="22"/>
        <v/>
      </c>
      <c r="C142" s="157">
        <f>IF(D93="","-",+C141+1)</f>
        <v>2050</v>
      </c>
      <c r="D142" s="158">
        <f>IF(F141+SUM(E$99:E141)=D$92,F141,D$92-SUM(E$99:E141))</f>
        <v>7870</v>
      </c>
      <c r="E142" s="165">
        <f>IF(+J96&lt;F141,J96,D142)</f>
        <v>1577</v>
      </c>
      <c r="F142" s="163">
        <f t="shared" si="25"/>
        <v>6293</v>
      </c>
      <c r="G142" s="163">
        <f t="shared" si="26"/>
        <v>7081.5</v>
      </c>
      <c r="H142" s="167">
        <f t="shared" si="27"/>
        <v>2475.3061310085936</v>
      </c>
      <c r="I142" s="317">
        <f t="shared" si="28"/>
        <v>2475.3061310085936</v>
      </c>
      <c r="J142" s="162">
        <f t="shared" si="29"/>
        <v>0</v>
      </c>
      <c r="K142" s="162"/>
      <c r="L142" s="335"/>
      <c r="M142" s="162">
        <f t="shared" si="30"/>
        <v>0</v>
      </c>
      <c r="N142" s="335"/>
      <c r="O142" s="162">
        <f t="shared" si="31"/>
        <v>0</v>
      </c>
      <c r="P142" s="162">
        <f t="shared" si="32"/>
        <v>0</v>
      </c>
    </row>
    <row r="143" spans="2:16">
      <c r="B143" s="9" t="str">
        <f t="shared" si="22"/>
        <v/>
      </c>
      <c r="C143" s="157">
        <f>IF(D93="","-",+C142+1)</f>
        <v>2051</v>
      </c>
      <c r="D143" s="158">
        <f>IF(F142+SUM(E$99:E142)=D$92,F142,D$92-SUM(E$99:E142))</f>
        <v>6293</v>
      </c>
      <c r="E143" s="165">
        <f>IF(+J96&lt;F142,J96,D143)</f>
        <v>1577</v>
      </c>
      <c r="F143" s="163">
        <f t="shared" si="25"/>
        <v>4716</v>
      </c>
      <c r="G143" s="163">
        <f t="shared" si="26"/>
        <v>5504.5</v>
      </c>
      <c r="H143" s="167">
        <f t="shared" si="27"/>
        <v>2275.2597046016808</v>
      </c>
      <c r="I143" s="317">
        <f t="shared" si="28"/>
        <v>2275.2597046016808</v>
      </c>
      <c r="J143" s="162">
        <f t="shared" si="29"/>
        <v>0</v>
      </c>
      <c r="K143" s="162"/>
      <c r="L143" s="335"/>
      <c r="M143" s="162">
        <f t="shared" si="30"/>
        <v>0</v>
      </c>
      <c r="N143" s="335"/>
      <c r="O143" s="162">
        <f t="shared" si="31"/>
        <v>0</v>
      </c>
      <c r="P143" s="162">
        <f t="shared" si="32"/>
        <v>0</v>
      </c>
    </row>
    <row r="144" spans="2:16">
      <c r="B144" s="9" t="str">
        <f t="shared" si="22"/>
        <v/>
      </c>
      <c r="C144" s="157">
        <f>IF(D93="","-",+C143+1)</f>
        <v>2052</v>
      </c>
      <c r="D144" s="158">
        <f>IF(F143+SUM(E$99:E143)=D$92,F143,D$92-SUM(E$99:E143))</f>
        <v>4716</v>
      </c>
      <c r="E144" s="165">
        <f>IF(+J96&lt;F143,J96,D144)</f>
        <v>1577</v>
      </c>
      <c r="F144" s="163">
        <f t="shared" si="25"/>
        <v>3139</v>
      </c>
      <c r="G144" s="163">
        <f t="shared" si="26"/>
        <v>3927.5</v>
      </c>
      <c r="H144" s="167">
        <f t="shared" si="27"/>
        <v>2075.2132781947685</v>
      </c>
      <c r="I144" s="317">
        <f t="shared" si="28"/>
        <v>2075.2132781947685</v>
      </c>
      <c r="J144" s="162">
        <f t="shared" si="29"/>
        <v>0</v>
      </c>
      <c r="K144" s="162"/>
      <c r="L144" s="335"/>
      <c r="M144" s="162">
        <f t="shared" si="30"/>
        <v>0</v>
      </c>
      <c r="N144" s="335"/>
      <c r="O144" s="162">
        <f t="shared" si="31"/>
        <v>0</v>
      </c>
      <c r="P144" s="162">
        <f t="shared" si="32"/>
        <v>0</v>
      </c>
    </row>
    <row r="145" spans="2:16">
      <c r="B145" s="9" t="str">
        <f t="shared" si="22"/>
        <v/>
      </c>
      <c r="C145" s="157">
        <f>IF(D93="","-",+C144+1)</f>
        <v>2053</v>
      </c>
      <c r="D145" s="158">
        <f>IF(F144+SUM(E$99:E144)=D$92,F144,D$92-SUM(E$99:E144))</f>
        <v>3139</v>
      </c>
      <c r="E145" s="165">
        <f>IF(+J96&lt;F144,J96,D145)</f>
        <v>1577</v>
      </c>
      <c r="F145" s="163">
        <f t="shared" si="25"/>
        <v>1562</v>
      </c>
      <c r="G145" s="163">
        <f t="shared" si="26"/>
        <v>2350.5</v>
      </c>
      <c r="H145" s="167">
        <f t="shared" si="27"/>
        <v>1875.1668517878556</v>
      </c>
      <c r="I145" s="317">
        <f t="shared" si="28"/>
        <v>1875.1668517878556</v>
      </c>
      <c r="J145" s="162">
        <f t="shared" si="29"/>
        <v>0</v>
      </c>
      <c r="K145" s="162"/>
      <c r="L145" s="335"/>
      <c r="M145" s="162">
        <f t="shared" si="30"/>
        <v>0</v>
      </c>
      <c r="N145" s="335"/>
      <c r="O145" s="162">
        <f t="shared" si="31"/>
        <v>0</v>
      </c>
      <c r="P145" s="162">
        <f t="shared" si="32"/>
        <v>0</v>
      </c>
    </row>
    <row r="146" spans="2:16">
      <c r="B146" s="9" t="str">
        <f t="shared" si="22"/>
        <v/>
      </c>
      <c r="C146" s="157">
        <f>IF(D93="","-",+C145+1)</f>
        <v>2054</v>
      </c>
      <c r="D146" s="158">
        <f>IF(F145+SUM(E$99:E145)=D$92,F145,D$92-SUM(E$99:E145))</f>
        <v>1562</v>
      </c>
      <c r="E146" s="165">
        <f>IF(+J96&lt;F145,J96,D146)</f>
        <v>1562</v>
      </c>
      <c r="F146" s="163">
        <f t="shared" si="25"/>
        <v>0</v>
      </c>
      <c r="G146" s="163">
        <f t="shared" si="26"/>
        <v>781</v>
      </c>
      <c r="H146" s="167">
        <f t="shared" si="27"/>
        <v>1661.0718192921997</v>
      </c>
      <c r="I146" s="317">
        <f t="shared" si="28"/>
        <v>1661.0718192921997</v>
      </c>
      <c r="J146" s="162">
        <f t="shared" si="29"/>
        <v>0</v>
      </c>
      <c r="K146" s="162"/>
      <c r="L146" s="335"/>
      <c r="M146" s="162">
        <f t="shared" si="30"/>
        <v>0</v>
      </c>
      <c r="N146" s="335"/>
      <c r="O146" s="162">
        <f t="shared" si="31"/>
        <v>0</v>
      </c>
      <c r="P146" s="162">
        <f t="shared" si="32"/>
        <v>0</v>
      </c>
    </row>
    <row r="147" spans="2:16">
      <c r="B147" s="9" t="str">
        <f t="shared" si="22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5"/>
        <v>0</v>
      </c>
      <c r="G147" s="163">
        <f t="shared" si="26"/>
        <v>0</v>
      </c>
      <c r="H147" s="167">
        <f t="shared" si="27"/>
        <v>0</v>
      </c>
      <c r="I147" s="317">
        <f t="shared" si="28"/>
        <v>0</v>
      </c>
      <c r="J147" s="162">
        <f t="shared" si="29"/>
        <v>0</v>
      </c>
      <c r="K147" s="162"/>
      <c r="L147" s="335"/>
      <c r="M147" s="162">
        <f t="shared" si="30"/>
        <v>0</v>
      </c>
      <c r="N147" s="335"/>
      <c r="O147" s="162">
        <f t="shared" si="31"/>
        <v>0</v>
      </c>
      <c r="P147" s="162">
        <f t="shared" si="32"/>
        <v>0</v>
      </c>
    </row>
    <row r="148" spans="2:16">
      <c r="B148" s="9" t="str">
        <f t="shared" si="22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5"/>
        <v>0</v>
      </c>
      <c r="G148" s="163">
        <f t="shared" si="26"/>
        <v>0</v>
      </c>
      <c r="H148" s="167">
        <f t="shared" si="27"/>
        <v>0</v>
      </c>
      <c r="I148" s="317">
        <f t="shared" si="28"/>
        <v>0</v>
      </c>
      <c r="J148" s="162">
        <f t="shared" si="29"/>
        <v>0</v>
      </c>
      <c r="K148" s="162"/>
      <c r="L148" s="335"/>
      <c r="M148" s="162">
        <f t="shared" si="30"/>
        <v>0</v>
      </c>
      <c r="N148" s="335"/>
      <c r="O148" s="162">
        <f t="shared" si="31"/>
        <v>0</v>
      </c>
      <c r="P148" s="162">
        <f t="shared" si="32"/>
        <v>0</v>
      </c>
    </row>
    <row r="149" spans="2:16">
      <c r="B149" s="9" t="str">
        <f t="shared" si="22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5"/>
        <v>0</v>
      </c>
      <c r="G149" s="163">
        <f t="shared" si="26"/>
        <v>0</v>
      </c>
      <c r="H149" s="167">
        <f t="shared" si="27"/>
        <v>0</v>
      </c>
      <c r="I149" s="317">
        <f t="shared" si="28"/>
        <v>0</v>
      </c>
      <c r="J149" s="162">
        <f t="shared" si="29"/>
        <v>0</v>
      </c>
      <c r="K149" s="162"/>
      <c r="L149" s="335"/>
      <c r="M149" s="162">
        <f t="shared" si="30"/>
        <v>0</v>
      </c>
      <c r="N149" s="335"/>
      <c r="O149" s="162">
        <f t="shared" si="31"/>
        <v>0</v>
      </c>
      <c r="P149" s="162">
        <f t="shared" si="32"/>
        <v>0</v>
      </c>
    </row>
    <row r="150" spans="2:16">
      <c r="B150" s="9" t="str">
        <f t="shared" si="22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5"/>
        <v>0</v>
      </c>
      <c r="G150" s="163">
        <f t="shared" si="26"/>
        <v>0</v>
      </c>
      <c r="H150" s="167">
        <f t="shared" si="27"/>
        <v>0</v>
      </c>
      <c r="I150" s="317">
        <f t="shared" si="28"/>
        <v>0</v>
      </c>
      <c r="J150" s="162">
        <f t="shared" si="29"/>
        <v>0</v>
      </c>
      <c r="K150" s="162"/>
      <c r="L150" s="335"/>
      <c r="M150" s="162">
        <f t="shared" si="30"/>
        <v>0</v>
      </c>
      <c r="N150" s="335"/>
      <c r="O150" s="162">
        <f t="shared" si="31"/>
        <v>0</v>
      </c>
      <c r="P150" s="162">
        <f t="shared" si="32"/>
        <v>0</v>
      </c>
    </row>
    <row r="151" spans="2:16">
      <c r="B151" s="9" t="str">
        <f t="shared" si="22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5"/>
        <v>0</v>
      </c>
      <c r="G151" s="163">
        <f t="shared" si="26"/>
        <v>0</v>
      </c>
      <c r="H151" s="167">
        <f t="shared" si="27"/>
        <v>0</v>
      </c>
      <c r="I151" s="317">
        <f t="shared" si="28"/>
        <v>0</v>
      </c>
      <c r="J151" s="162">
        <f t="shared" si="29"/>
        <v>0</v>
      </c>
      <c r="K151" s="162"/>
      <c r="L151" s="335"/>
      <c r="M151" s="162">
        <f t="shared" si="30"/>
        <v>0</v>
      </c>
      <c r="N151" s="335"/>
      <c r="O151" s="162">
        <f t="shared" si="31"/>
        <v>0</v>
      </c>
      <c r="P151" s="162">
        <f t="shared" si="32"/>
        <v>0</v>
      </c>
    </row>
    <row r="152" spans="2:16">
      <c r="B152" s="9" t="str">
        <f t="shared" si="22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5"/>
        <v>0</v>
      </c>
      <c r="G152" s="163">
        <f t="shared" si="26"/>
        <v>0</v>
      </c>
      <c r="H152" s="167">
        <f t="shared" si="27"/>
        <v>0</v>
      </c>
      <c r="I152" s="317">
        <f t="shared" si="28"/>
        <v>0</v>
      </c>
      <c r="J152" s="162">
        <f t="shared" si="29"/>
        <v>0</v>
      </c>
      <c r="K152" s="162"/>
      <c r="L152" s="335"/>
      <c r="M152" s="162">
        <f t="shared" si="30"/>
        <v>0</v>
      </c>
      <c r="N152" s="335"/>
      <c r="O152" s="162">
        <f t="shared" si="31"/>
        <v>0</v>
      </c>
      <c r="P152" s="162">
        <f t="shared" si="32"/>
        <v>0</v>
      </c>
    </row>
    <row r="153" spans="2:16">
      <c r="B153" s="9" t="str">
        <f t="shared" si="22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5"/>
        <v>0</v>
      </c>
      <c r="G153" s="163">
        <f t="shared" si="26"/>
        <v>0</v>
      </c>
      <c r="H153" s="167">
        <f t="shared" si="27"/>
        <v>0</v>
      </c>
      <c r="I153" s="317">
        <f t="shared" si="28"/>
        <v>0</v>
      </c>
      <c r="J153" s="162">
        <f t="shared" si="29"/>
        <v>0</v>
      </c>
      <c r="K153" s="162"/>
      <c r="L153" s="335"/>
      <c r="M153" s="162">
        <f t="shared" si="30"/>
        <v>0</v>
      </c>
      <c r="N153" s="335"/>
      <c r="O153" s="162">
        <f t="shared" si="31"/>
        <v>0</v>
      </c>
      <c r="P153" s="162">
        <f t="shared" si="32"/>
        <v>0</v>
      </c>
    </row>
    <row r="154" spans="2:16" ht="13.5" thickBot="1">
      <c r="B154" s="9" t="str">
        <f t="shared" si="22"/>
        <v/>
      </c>
      <c r="C154" s="168">
        <f>IF(D93="","-",+C153+1)</f>
        <v>2062</v>
      </c>
      <c r="D154" s="169">
        <f>IF(F153+SUM(E$99:E153)=D$92,F153,D$92-SUM(E$99:E153))</f>
        <v>0</v>
      </c>
      <c r="E154" s="377">
        <f>IF(+J96&lt;F153,J96,D154)</f>
        <v>0</v>
      </c>
      <c r="F154" s="169">
        <f t="shared" si="25"/>
        <v>0</v>
      </c>
      <c r="G154" s="169">
        <f t="shared" si="26"/>
        <v>0</v>
      </c>
      <c r="H154" s="171">
        <f t="shared" si="27"/>
        <v>0</v>
      </c>
      <c r="I154" s="318">
        <f t="shared" si="28"/>
        <v>0</v>
      </c>
      <c r="J154" s="173">
        <f t="shared" si="29"/>
        <v>0</v>
      </c>
      <c r="K154" s="162"/>
      <c r="L154" s="336"/>
      <c r="M154" s="173">
        <f t="shared" si="30"/>
        <v>0</v>
      </c>
      <c r="N154" s="336"/>
      <c r="O154" s="173">
        <f t="shared" si="31"/>
        <v>0</v>
      </c>
      <c r="P154" s="173">
        <f t="shared" si="32"/>
        <v>0</v>
      </c>
    </row>
    <row r="155" spans="2:16">
      <c r="C155" s="158" t="s">
        <v>72</v>
      </c>
      <c r="D155" s="115"/>
      <c r="E155" s="115">
        <f>SUM(E99:E154)</f>
        <v>72551</v>
      </c>
      <c r="F155" s="115"/>
      <c r="G155" s="115"/>
      <c r="H155" s="115">
        <f>SUM(H99:H154)</f>
        <v>309151.95907143236</v>
      </c>
      <c r="I155" s="115">
        <f>SUM(I99:I154)</f>
        <v>309151.95907143236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10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11204.44220775155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11204.44220775155</v>
      </c>
      <c r="O6" s="1"/>
      <c r="P6" s="1"/>
    </row>
    <row r="7" spans="1:16" ht="13.5" thickBot="1">
      <c r="C7" s="127" t="s">
        <v>41</v>
      </c>
      <c r="D7" s="270" t="s">
        <v>248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212</v>
      </c>
      <c r="E9" s="428" t="s">
        <v>310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96566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2414.15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2010</v>
      </c>
      <c r="D17" s="366">
        <v>135400</v>
      </c>
      <c r="E17" s="367">
        <v>1209</v>
      </c>
      <c r="F17" s="366">
        <v>134191</v>
      </c>
      <c r="G17" s="367">
        <v>20572</v>
      </c>
      <c r="H17" s="370">
        <v>20572</v>
      </c>
      <c r="I17" s="160">
        <f t="shared" ref="I17:I48" si="0">H17-G17</f>
        <v>0</v>
      </c>
      <c r="J17" s="160"/>
      <c r="K17" s="337">
        <f t="shared" ref="K17:K22" si="1">G17</f>
        <v>20572</v>
      </c>
      <c r="L17" s="161">
        <f t="shared" ref="L17:L48" si="2">IF(K17&lt;&gt;0,+G17-K17,0)</f>
        <v>0</v>
      </c>
      <c r="M17" s="337">
        <f t="shared" ref="M17:M22" si="3">H17</f>
        <v>20572</v>
      </c>
      <c r="N17" s="161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2011</v>
      </c>
      <c r="D18" s="371">
        <v>95357</v>
      </c>
      <c r="E18" s="368">
        <v>1893.4509803921569</v>
      </c>
      <c r="F18" s="371">
        <v>93463.549019607846</v>
      </c>
      <c r="G18" s="368">
        <v>16524.450980392157</v>
      </c>
      <c r="H18" s="370">
        <v>16524.450980392157</v>
      </c>
      <c r="I18" s="160">
        <f t="shared" si="0"/>
        <v>0</v>
      </c>
      <c r="J18" s="160"/>
      <c r="K18" s="338">
        <f t="shared" si="1"/>
        <v>16524.450980392157</v>
      </c>
      <c r="L18" s="272">
        <f t="shared" si="2"/>
        <v>0</v>
      </c>
      <c r="M18" s="338">
        <f t="shared" si="3"/>
        <v>16524.450980392157</v>
      </c>
      <c r="N18" s="162">
        <f t="shared" si="4"/>
        <v>0</v>
      </c>
      <c r="O18" s="162">
        <f t="shared" si="5"/>
        <v>0</v>
      </c>
      <c r="P18" s="4"/>
    </row>
    <row r="19" spans="2:16">
      <c r="B19" s="9" t="str">
        <f>IF(D19=F18,"","IU")</f>
        <v/>
      </c>
      <c r="C19" s="157">
        <f>IF(D11="","-",+C18+1)</f>
        <v>2012</v>
      </c>
      <c r="D19" s="371">
        <v>93463.549019607846</v>
      </c>
      <c r="E19" s="368">
        <v>1857.0384615384614</v>
      </c>
      <c r="F19" s="371">
        <v>91606.510558069378</v>
      </c>
      <c r="G19" s="368">
        <v>14609.038461538461</v>
      </c>
      <c r="H19" s="370">
        <v>14609.038461538461</v>
      </c>
      <c r="I19" s="160">
        <f t="shared" si="0"/>
        <v>0</v>
      </c>
      <c r="J19" s="160"/>
      <c r="K19" s="338">
        <f t="shared" si="1"/>
        <v>14609.038461538461</v>
      </c>
      <c r="L19" s="272">
        <f t="shared" si="2"/>
        <v>0</v>
      </c>
      <c r="M19" s="338">
        <f t="shared" si="3"/>
        <v>14609.038461538461</v>
      </c>
      <c r="N19" s="162">
        <f t="shared" si="4"/>
        <v>0</v>
      </c>
      <c r="O19" s="162">
        <f t="shared" si="5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2013</v>
      </c>
      <c r="D20" s="371">
        <v>91606.510558069378</v>
      </c>
      <c r="E20" s="368">
        <v>1857.0384615384614</v>
      </c>
      <c r="F20" s="371">
        <v>89749.47209653091</v>
      </c>
      <c r="G20" s="368">
        <v>14674.038461538461</v>
      </c>
      <c r="H20" s="370">
        <v>14674.038461538461</v>
      </c>
      <c r="I20" s="160">
        <v>0</v>
      </c>
      <c r="J20" s="160"/>
      <c r="K20" s="338">
        <f t="shared" si="1"/>
        <v>14674.038461538461</v>
      </c>
      <c r="L20" s="272">
        <f t="shared" ref="L20:L25" si="7">IF(K20&lt;&gt;0,+G20-K20,0)</f>
        <v>0</v>
      </c>
      <c r="M20" s="338">
        <f t="shared" si="3"/>
        <v>14674.038461538461</v>
      </c>
      <c r="N20" s="162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71">
        <v>89749.47209653091</v>
      </c>
      <c r="E21" s="368">
        <v>1857.0384615384614</v>
      </c>
      <c r="F21" s="371">
        <v>87892.433634992442</v>
      </c>
      <c r="G21" s="368">
        <v>13956.038461538461</v>
      </c>
      <c r="H21" s="370">
        <v>13956.038461538461</v>
      </c>
      <c r="I21" s="160">
        <v>0</v>
      </c>
      <c r="J21" s="160"/>
      <c r="K21" s="338">
        <f t="shared" si="1"/>
        <v>13956.038461538461</v>
      </c>
      <c r="L21" s="272">
        <f t="shared" si="7"/>
        <v>0</v>
      </c>
      <c r="M21" s="338">
        <f t="shared" si="3"/>
        <v>13956.038461538461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71">
        <v>87892.433634992442</v>
      </c>
      <c r="E22" s="368">
        <v>1857.0384615384614</v>
      </c>
      <c r="F22" s="371">
        <v>86035.395173453973</v>
      </c>
      <c r="G22" s="368">
        <v>13719.038461538461</v>
      </c>
      <c r="H22" s="370">
        <v>13719.038461538461</v>
      </c>
      <c r="I22" s="160">
        <v>0</v>
      </c>
      <c r="J22" s="160"/>
      <c r="K22" s="338">
        <f t="shared" si="1"/>
        <v>13719.038461538461</v>
      </c>
      <c r="L22" s="272">
        <f t="shared" si="7"/>
        <v>0</v>
      </c>
      <c r="M22" s="338">
        <f t="shared" si="3"/>
        <v>13719.038461538461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71">
        <v>86035.395173453973</v>
      </c>
      <c r="E23" s="368">
        <v>1857.0384615384614</v>
      </c>
      <c r="F23" s="371">
        <v>84178.356711915505</v>
      </c>
      <c r="G23" s="368">
        <v>12898.038461538461</v>
      </c>
      <c r="H23" s="370">
        <v>12898.038461538461</v>
      </c>
      <c r="I23" s="160">
        <f t="shared" si="0"/>
        <v>0</v>
      </c>
      <c r="J23" s="160"/>
      <c r="K23" s="338">
        <f>G23</f>
        <v>12898.038461538461</v>
      </c>
      <c r="L23" s="272">
        <f t="shared" si="7"/>
        <v>0</v>
      </c>
      <c r="M23" s="338">
        <f>H23</f>
        <v>12898.038461538461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71">
        <v>84178.356711915505</v>
      </c>
      <c r="E24" s="368">
        <v>2099.2608695652175</v>
      </c>
      <c r="F24" s="371">
        <v>82079.095842350289</v>
      </c>
      <c r="G24" s="368">
        <v>12544.260869565218</v>
      </c>
      <c r="H24" s="370">
        <v>12544.260869565218</v>
      </c>
      <c r="I24" s="160">
        <v>0</v>
      </c>
      <c r="J24" s="160"/>
      <c r="K24" s="338">
        <f>G24</f>
        <v>12544.260869565218</v>
      </c>
      <c r="L24" s="272">
        <f t="shared" si="7"/>
        <v>0</v>
      </c>
      <c r="M24" s="338">
        <f>H24</f>
        <v>12544.260869565218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71">
        <v>82079.095842350289</v>
      </c>
      <c r="E25" s="368">
        <v>2145.911111111111</v>
      </c>
      <c r="F25" s="371">
        <v>79933.184731239176</v>
      </c>
      <c r="G25" s="368">
        <v>11847.120662682713</v>
      </c>
      <c r="H25" s="370">
        <v>11847.120662682713</v>
      </c>
      <c r="I25" s="160">
        <f t="shared" si="0"/>
        <v>0</v>
      </c>
      <c r="J25" s="160"/>
      <c r="K25" s="338">
        <f>G25</f>
        <v>11847.120662682713</v>
      </c>
      <c r="L25" s="272">
        <f t="shared" si="7"/>
        <v>0</v>
      </c>
      <c r="M25" s="338">
        <f>H25</f>
        <v>11847.120662682713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163">
        <f>IF(F25+SUM(E$17:E25)=D$10,F25,D$10-SUM(E$17:E25))</f>
        <v>79933.184731239176</v>
      </c>
      <c r="E26" s="164">
        <f>IF(+I14&lt;F25,I14,D26)</f>
        <v>2414.15</v>
      </c>
      <c r="F26" s="163">
        <f t="shared" ref="F26:F48" si="10">+D26-E26</f>
        <v>77519.034731239182</v>
      </c>
      <c r="G26" s="165">
        <f t="shared" ref="G26:G72" si="11">(D26+F26)/2*I$12+E26</f>
        <v>11204.44220775155</v>
      </c>
      <c r="H26" s="147">
        <f t="shared" ref="H26:H72" si="12">+(D26+F26)/2*I$13+E26</f>
        <v>11204.44220775155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386" t="str">
        <f t="shared" si="6"/>
        <v/>
      </c>
      <c r="C27" s="157">
        <f>IF(D11="","-",+C26+1)</f>
        <v>2020</v>
      </c>
      <c r="D27" s="166">
        <f>IF(F26+SUM(E$17:E26)=D$10,F26,D$10-SUM(E$17:E26))</f>
        <v>77519.034731239182</v>
      </c>
      <c r="E27" s="164">
        <f>IF(+I14&lt;F26,I14,D27)</f>
        <v>2414.15</v>
      </c>
      <c r="F27" s="163">
        <f t="shared" si="10"/>
        <v>75104.884731239188</v>
      </c>
      <c r="G27" s="165">
        <f t="shared" si="11"/>
        <v>10934.886351304567</v>
      </c>
      <c r="H27" s="147">
        <f t="shared" si="12"/>
        <v>10934.886351304567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75104.884731239188</v>
      </c>
      <c r="E28" s="164">
        <f>IF(+I14&lt;F27,I14,D28)</f>
        <v>2414.15</v>
      </c>
      <c r="F28" s="163">
        <f t="shared" si="10"/>
        <v>72690.734731239194</v>
      </c>
      <c r="G28" s="165">
        <f t="shared" si="11"/>
        <v>10665.330494857584</v>
      </c>
      <c r="H28" s="147">
        <f t="shared" si="12"/>
        <v>10665.330494857584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72690.734731239194</v>
      </c>
      <c r="E29" s="164">
        <f>IF(+I14&lt;F28,I14,D29)</f>
        <v>2414.15</v>
      </c>
      <c r="F29" s="163">
        <f t="shared" si="10"/>
        <v>70276.5847312392</v>
      </c>
      <c r="G29" s="165">
        <f t="shared" si="11"/>
        <v>10395.774638410601</v>
      </c>
      <c r="H29" s="147">
        <f t="shared" si="12"/>
        <v>10395.774638410601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70276.5847312392</v>
      </c>
      <c r="E30" s="164">
        <f>IF(+I14&lt;F29,I14,D30)</f>
        <v>2414.15</v>
      </c>
      <c r="F30" s="163">
        <f t="shared" si="10"/>
        <v>67862.434731239206</v>
      </c>
      <c r="G30" s="165">
        <f t="shared" si="11"/>
        <v>10126.218781963618</v>
      </c>
      <c r="H30" s="147">
        <f t="shared" si="12"/>
        <v>10126.218781963618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67862.434731239206</v>
      </c>
      <c r="E31" s="164">
        <f>IF(+I14&lt;F30,I14,D31)</f>
        <v>2414.15</v>
      </c>
      <c r="F31" s="163">
        <f t="shared" si="10"/>
        <v>65448.284731239204</v>
      </c>
      <c r="G31" s="165">
        <f t="shared" si="11"/>
        <v>9856.6629255166354</v>
      </c>
      <c r="H31" s="147">
        <f t="shared" si="12"/>
        <v>9856.6629255166354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65448.284731239204</v>
      </c>
      <c r="E32" s="164">
        <f>IF(+I14&lt;F31,I14,D32)</f>
        <v>2414.15</v>
      </c>
      <c r="F32" s="163">
        <f t="shared" si="10"/>
        <v>63034.134731239203</v>
      </c>
      <c r="G32" s="165">
        <f t="shared" si="11"/>
        <v>9587.1070690696506</v>
      </c>
      <c r="H32" s="147">
        <f t="shared" si="12"/>
        <v>9587.1070690696506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63034.134731239203</v>
      </c>
      <c r="E33" s="164">
        <f>IF(+I14&lt;F32,I14,D33)</f>
        <v>2414.15</v>
      </c>
      <c r="F33" s="163">
        <f t="shared" si="10"/>
        <v>60619.984731239201</v>
      </c>
      <c r="G33" s="165">
        <f t="shared" si="11"/>
        <v>9317.5512126226677</v>
      </c>
      <c r="H33" s="147">
        <f t="shared" si="12"/>
        <v>9317.5512126226677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60619.984731239201</v>
      </c>
      <c r="E34" s="164">
        <f>IF(+I14&lt;F33,I14,D34)</f>
        <v>2414.15</v>
      </c>
      <c r="F34" s="163">
        <f t="shared" si="10"/>
        <v>58205.8347312392</v>
      </c>
      <c r="G34" s="165">
        <f t="shared" si="11"/>
        <v>9047.9953561756829</v>
      </c>
      <c r="H34" s="147">
        <f t="shared" si="12"/>
        <v>9047.9953561756829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58205.8347312392</v>
      </c>
      <c r="E35" s="164">
        <f>IF(+I14&lt;F34,I14,D35)</f>
        <v>2414.15</v>
      </c>
      <c r="F35" s="163">
        <f t="shared" si="10"/>
        <v>55791.684731239198</v>
      </c>
      <c r="G35" s="165">
        <f t="shared" si="11"/>
        <v>8778.4394997287</v>
      </c>
      <c r="H35" s="147">
        <f t="shared" si="12"/>
        <v>8778.4394997287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55791.684731239198</v>
      </c>
      <c r="E36" s="164">
        <f>IF(+I14&lt;F35,I14,D36)</f>
        <v>2414.15</v>
      </c>
      <c r="F36" s="163">
        <f t="shared" si="10"/>
        <v>53377.534731239197</v>
      </c>
      <c r="G36" s="165">
        <f t="shared" si="11"/>
        <v>8508.8836432817152</v>
      </c>
      <c r="H36" s="147">
        <f t="shared" si="12"/>
        <v>8508.8836432817152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53377.534731239197</v>
      </c>
      <c r="E37" s="164">
        <f>IF(+I14&lt;F36,I14,D37)</f>
        <v>2414.15</v>
      </c>
      <c r="F37" s="163">
        <f t="shared" si="10"/>
        <v>50963.384731239195</v>
      </c>
      <c r="G37" s="165">
        <f t="shared" si="11"/>
        <v>8239.3277868347304</v>
      </c>
      <c r="H37" s="147">
        <f t="shared" si="12"/>
        <v>8239.3277868347304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50963.384731239195</v>
      </c>
      <c r="E38" s="164">
        <f>IF(+I14&lt;F37,I14,D38)</f>
        <v>2414.15</v>
      </c>
      <c r="F38" s="163">
        <f t="shared" si="10"/>
        <v>48549.234731239194</v>
      </c>
      <c r="G38" s="165">
        <f t="shared" si="11"/>
        <v>7969.7719303877457</v>
      </c>
      <c r="H38" s="147">
        <f t="shared" si="12"/>
        <v>7969.7719303877457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48549.234731239194</v>
      </c>
      <c r="E39" s="164">
        <f>IF(+I14&lt;F38,I14,D39)</f>
        <v>2414.15</v>
      </c>
      <c r="F39" s="163">
        <f t="shared" si="10"/>
        <v>46135.084731239192</v>
      </c>
      <c r="G39" s="165">
        <f t="shared" si="11"/>
        <v>7700.2160739407627</v>
      </c>
      <c r="H39" s="147">
        <f t="shared" si="12"/>
        <v>7700.2160739407627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46135.084731239192</v>
      </c>
      <c r="E40" s="164">
        <f>IF(+I14&lt;F39,I14,D40)</f>
        <v>2414.15</v>
      </c>
      <c r="F40" s="163">
        <f t="shared" si="10"/>
        <v>43720.934731239191</v>
      </c>
      <c r="G40" s="165">
        <f t="shared" si="11"/>
        <v>7430.660217493778</v>
      </c>
      <c r="H40" s="147">
        <f t="shared" si="12"/>
        <v>7430.660217493778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43720.934731239191</v>
      </c>
      <c r="E41" s="164">
        <f>IF(+I14&lt;F40,I14,D41)</f>
        <v>2414.15</v>
      </c>
      <c r="F41" s="163">
        <f t="shared" si="10"/>
        <v>41306.78473123919</v>
      </c>
      <c r="G41" s="165">
        <f t="shared" si="11"/>
        <v>7161.104361046795</v>
      </c>
      <c r="H41" s="147">
        <f t="shared" si="12"/>
        <v>7161.104361046795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41306.78473123919</v>
      </c>
      <c r="E42" s="164">
        <f>IF(+I14&lt;F41,I14,D42)</f>
        <v>2414.15</v>
      </c>
      <c r="F42" s="163">
        <f t="shared" si="10"/>
        <v>38892.634731239188</v>
      </c>
      <c r="G42" s="165">
        <f t="shared" si="11"/>
        <v>6891.5485045998103</v>
      </c>
      <c r="H42" s="147">
        <f t="shared" si="12"/>
        <v>6891.5485045998103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38892.634731239188</v>
      </c>
      <c r="E43" s="164">
        <f>IF(+I14&lt;F42,I14,D43)</f>
        <v>2414.15</v>
      </c>
      <c r="F43" s="163">
        <f t="shared" si="10"/>
        <v>36478.484731239187</v>
      </c>
      <c r="G43" s="165">
        <f t="shared" si="11"/>
        <v>6621.9926481528273</v>
      </c>
      <c r="H43" s="147">
        <f t="shared" si="12"/>
        <v>6621.9926481528273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36478.484731239187</v>
      </c>
      <c r="E44" s="164">
        <f>IF(+I14&lt;F43,I14,D44)</f>
        <v>2414.15</v>
      </c>
      <c r="F44" s="163">
        <f t="shared" si="10"/>
        <v>34064.334731239185</v>
      </c>
      <c r="G44" s="165">
        <f t="shared" si="11"/>
        <v>6352.4367917058426</v>
      </c>
      <c r="H44" s="147">
        <f t="shared" si="12"/>
        <v>6352.4367917058426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34064.334731239185</v>
      </c>
      <c r="E45" s="164">
        <f>IF(+I14&lt;F44,I14,D45)</f>
        <v>2414.15</v>
      </c>
      <c r="F45" s="163">
        <f t="shared" si="10"/>
        <v>31650.184731239184</v>
      </c>
      <c r="G45" s="165">
        <f t="shared" si="11"/>
        <v>6082.8809352588596</v>
      </c>
      <c r="H45" s="147">
        <f t="shared" si="12"/>
        <v>6082.8809352588596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31650.184731239184</v>
      </c>
      <c r="E46" s="164">
        <f>IF(+I14&lt;F45,I14,D46)</f>
        <v>2414.15</v>
      </c>
      <c r="F46" s="163">
        <f t="shared" si="10"/>
        <v>29236.034731239182</v>
      </c>
      <c r="G46" s="165">
        <f t="shared" si="11"/>
        <v>5813.3250788118748</v>
      </c>
      <c r="H46" s="147">
        <f t="shared" si="12"/>
        <v>5813.3250788118748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29236.034731239182</v>
      </c>
      <c r="E47" s="164">
        <f>IF(+I14&lt;F46,I14,D47)</f>
        <v>2414.15</v>
      </c>
      <c r="F47" s="163">
        <f t="shared" si="10"/>
        <v>26821.884731239181</v>
      </c>
      <c r="G47" s="165">
        <f t="shared" si="11"/>
        <v>5543.7692223648901</v>
      </c>
      <c r="H47" s="147">
        <f t="shared" si="12"/>
        <v>5543.7692223648901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26821.884731239181</v>
      </c>
      <c r="E48" s="164">
        <f>IF(+I14&lt;F47,I14,D48)</f>
        <v>2414.15</v>
      </c>
      <c r="F48" s="163">
        <f t="shared" si="10"/>
        <v>24407.734731239179</v>
      </c>
      <c r="G48" s="165">
        <f t="shared" si="11"/>
        <v>5274.2133659179071</v>
      </c>
      <c r="H48" s="147">
        <f t="shared" si="12"/>
        <v>5274.2133659179071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24407.734731239179</v>
      </c>
      <c r="E49" s="164">
        <f>IF(+I14&lt;F48,I14,D49)</f>
        <v>2414.15</v>
      </c>
      <c r="F49" s="163">
        <f t="shared" ref="F49:F72" si="13">+D49-E49</f>
        <v>21993.584731239178</v>
      </c>
      <c r="G49" s="165">
        <f t="shared" si="11"/>
        <v>5004.6575094709224</v>
      </c>
      <c r="H49" s="147">
        <f t="shared" si="12"/>
        <v>5004.6575094709224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2043</v>
      </c>
      <c r="D50" s="163">
        <f>IF(F49+SUM(E$17:E49)=D$10,F49,D$10-SUM(E$17:E49))</f>
        <v>21993.584731239178</v>
      </c>
      <c r="E50" s="164">
        <f>IF(+I14&lt;F49,I14,D50)</f>
        <v>2414.15</v>
      </c>
      <c r="F50" s="163">
        <f t="shared" si="13"/>
        <v>19579.434731239176</v>
      </c>
      <c r="G50" s="165">
        <f t="shared" si="11"/>
        <v>4735.1016530239385</v>
      </c>
      <c r="H50" s="147">
        <f t="shared" si="12"/>
        <v>4735.1016530239385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2044</v>
      </c>
      <c r="D51" s="163">
        <f>IF(F50+SUM(E$17:E50)=D$10,F50,D$10-SUM(E$17:E50))</f>
        <v>19579.434731239176</v>
      </c>
      <c r="E51" s="164">
        <f>IF(+I14&lt;F50,I14,D51)</f>
        <v>2414.15</v>
      </c>
      <c r="F51" s="163">
        <f t="shared" si="13"/>
        <v>17165.284731239175</v>
      </c>
      <c r="G51" s="165">
        <f t="shared" si="11"/>
        <v>4465.5457965769547</v>
      </c>
      <c r="H51" s="147">
        <f t="shared" si="12"/>
        <v>4465.5457965769547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2045</v>
      </c>
      <c r="D52" s="163">
        <f>IF(F51+SUM(E$17:E51)=D$10,F51,D$10-SUM(E$17:E51))</f>
        <v>17165.284731239175</v>
      </c>
      <c r="E52" s="164">
        <f>IF(+I14&lt;F51,I14,D52)</f>
        <v>2414.15</v>
      </c>
      <c r="F52" s="163">
        <f t="shared" si="13"/>
        <v>14751.134731239175</v>
      </c>
      <c r="G52" s="165">
        <f t="shared" si="11"/>
        <v>4195.9899401299699</v>
      </c>
      <c r="H52" s="147">
        <f t="shared" si="12"/>
        <v>4195.9899401299699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2046</v>
      </c>
      <c r="D53" s="163">
        <f>IF(F52+SUM(E$17:E52)=D$10,F52,D$10-SUM(E$17:E52))</f>
        <v>14751.134731239175</v>
      </c>
      <c r="E53" s="164">
        <f>IF(+I14&lt;F52,I14,D53)</f>
        <v>2414.15</v>
      </c>
      <c r="F53" s="163">
        <f t="shared" si="13"/>
        <v>12336.984731239176</v>
      </c>
      <c r="G53" s="165">
        <f t="shared" si="11"/>
        <v>3926.434083682987</v>
      </c>
      <c r="H53" s="147">
        <f t="shared" si="12"/>
        <v>3926.434083682987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2047</v>
      </c>
      <c r="D54" s="163">
        <f>IF(F53+SUM(E$17:E53)=D$10,F53,D$10-SUM(E$17:E53))</f>
        <v>12336.984731239176</v>
      </c>
      <c r="E54" s="164">
        <f>IF(+I14&lt;F53,I14,D54)</f>
        <v>2414.15</v>
      </c>
      <c r="F54" s="163">
        <f t="shared" si="13"/>
        <v>9922.8347312391761</v>
      </c>
      <c r="G54" s="165">
        <f t="shared" si="11"/>
        <v>3656.8782272360027</v>
      </c>
      <c r="H54" s="147">
        <f t="shared" si="12"/>
        <v>3656.8782272360027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>IU</v>
      </c>
      <c r="C55" s="157">
        <f>IF(D11="","-",+C54+1)</f>
        <v>2048</v>
      </c>
      <c r="D55" s="163">
        <f>IF(F54+SUM(E$17:E54)=D$10,F54,D$10-SUM(E$17:E54))</f>
        <v>9922.8347312392289</v>
      </c>
      <c r="E55" s="164">
        <f>IF(+I14&lt;F54,I14,D55)</f>
        <v>2414.15</v>
      </c>
      <c r="F55" s="163">
        <f t="shared" si="13"/>
        <v>7508.6847312392292</v>
      </c>
      <c r="G55" s="165">
        <f t="shared" si="11"/>
        <v>3387.3223707890247</v>
      </c>
      <c r="H55" s="147">
        <f t="shared" si="12"/>
        <v>3387.3223707890247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2049</v>
      </c>
      <c r="D56" s="163">
        <f>IF(F55+SUM(E$17:E55)=D$10,F55,D$10-SUM(E$17:E55))</f>
        <v>7508.6847312392292</v>
      </c>
      <c r="E56" s="164">
        <f>IF(+I14&lt;F55,I14,D56)</f>
        <v>2414.15</v>
      </c>
      <c r="F56" s="163">
        <f t="shared" si="13"/>
        <v>5094.5347312392296</v>
      </c>
      <c r="G56" s="165">
        <f t="shared" si="11"/>
        <v>3117.7665143420409</v>
      </c>
      <c r="H56" s="147">
        <f t="shared" si="12"/>
        <v>3117.7665143420409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2050</v>
      </c>
      <c r="D57" s="163">
        <f>IF(F56+SUM(E$17:E56)=D$10,F56,D$10-SUM(E$17:E56))</f>
        <v>5094.5347312392296</v>
      </c>
      <c r="E57" s="164">
        <f>IF(+I14&lt;F56,I14,D57)</f>
        <v>2414.15</v>
      </c>
      <c r="F57" s="163">
        <f t="shared" si="13"/>
        <v>2680.3847312392295</v>
      </c>
      <c r="G57" s="165">
        <f t="shared" si="11"/>
        <v>2848.2106578950575</v>
      </c>
      <c r="H57" s="147">
        <f t="shared" si="12"/>
        <v>2848.2106578950575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2051</v>
      </c>
      <c r="D58" s="163">
        <f>IF(F57+SUM(E$17:E57)=D$10,F57,D$10-SUM(E$17:E57))</f>
        <v>2680.3847312392295</v>
      </c>
      <c r="E58" s="164">
        <f>IF(+I14&lt;F57,I14,D58)</f>
        <v>2414.15</v>
      </c>
      <c r="F58" s="163">
        <f t="shared" si="13"/>
        <v>266.2347312392294</v>
      </c>
      <c r="G58" s="165">
        <f t="shared" si="11"/>
        <v>2578.6548014480732</v>
      </c>
      <c r="H58" s="147">
        <f t="shared" si="12"/>
        <v>2578.6548014480732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2052</v>
      </c>
      <c r="D59" s="163">
        <f>IF(F58+SUM(E$17:E58)=D$10,F58,D$10-SUM(E$17:E58))</f>
        <v>266.2347312392294</v>
      </c>
      <c r="E59" s="164">
        <f>IF(+I14&lt;F58,I14,D59)</f>
        <v>266.2347312392294</v>
      </c>
      <c r="F59" s="163">
        <f t="shared" si="13"/>
        <v>0</v>
      </c>
      <c r="G59" s="165">
        <f t="shared" si="11"/>
        <v>281.09816785152009</v>
      </c>
      <c r="H59" s="147">
        <f t="shared" si="12"/>
        <v>281.09816785152009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2053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2054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2055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2056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387" t="str">
        <f t="shared" si="6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96565.999999999971</v>
      </c>
      <c r="F73" s="115"/>
      <c r="G73" s="115">
        <f>SUM(G17:G72)</f>
        <v>359046.22363997775</v>
      </c>
      <c r="H73" s="115">
        <f>SUM(H17:H72)</f>
        <v>359046.22363997775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10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12544.260869565218</v>
      </c>
      <c r="N87" s="202">
        <f>IF(J92&lt;D11,0,VLOOKUP(J92,C17:O72,11))</f>
        <v>12544.260869565218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12651.353853573521</v>
      </c>
      <c r="N88" s="204">
        <f>IF(J92&lt;D11,0,VLOOKUP(J92,C99:P154,7))</f>
        <v>12651.353853573521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Wavetrap Clinton City-Foss Tap 69kV Ckt 1*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107.09298400830266</v>
      </c>
      <c r="N89" s="207">
        <f>+N88-N87</f>
        <v>107.09298400830266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TP2009011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96566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2010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2099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2010</v>
      </c>
      <c r="D99" s="366">
        <v>0</v>
      </c>
      <c r="E99" s="368">
        <v>946.5</v>
      </c>
      <c r="F99" s="371">
        <v>95619.5</v>
      </c>
      <c r="G99" s="373">
        <v>47809.75</v>
      </c>
      <c r="H99" s="374">
        <v>8635.0355480484341</v>
      </c>
      <c r="I99" s="375">
        <v>8635.0355480484341</v>
      </c>
      <c r="J99" s="162">
        <f t="shared" ref="J99:J130" si="18">+I99-H99</f>
        <v>0</v>
      </c>
      <c r="K99" s="162"/>
      <c r="L99" s="384">
        <f t="shared" ref="L99:L104" si="19">H99</f>
        <v>8635.0355480484341</v>
      </c>
      <c r="M99" s="385">
        <f t="shared" ref="M99:M130" si="20">IF(L99&lt;&gt;0,+H99-L99,0)</f>
        <v>0</v>
      </c>
      <c r="N99" s="384">
        <f t="shared" ref="N99:N104" si="21">I99</f>
        <v>8635.0355480484341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2011</v>
      </c>
      <c r="D100" s="366">
        <v>95619.5</v>
      </c>
      <c r="E100" s="368">
        <v>1857</v>
      </c>
      <c r="F100" s="371">
        <v>93762.5</v>
      </c>
      <c r="G100" s="371">
        <v>94691</v>
      </c>
      <c r="H100" s="368">
        <v>15096.07425133265</v>
      </c>
      <c r="I100" s="370">
        <v>15096.07425133265</v>
      </c>
      <c r="J100" s="162">
        <f t="shared" si="18"/>
        <v>0</v>
      </c>
      <c r="K100" s="162"/>
      <c r="L100" s="380">
        <f t="shared" si="19"/>
        <v>15096.07425133265</v>
      </c>
      <c r="M100" s="381">
        <f t="shared" si="20"/>
        <v>0</v>
      </c>
      <c r="N100" s="380">
        <f t="shared" si="21"/>
        <v>15096.07425133265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2012</v>
      </c>
      <c r="D101" s="366">
        <v>93762.5</v>
      </c>
      <c r="E101" s="368">
        <v>1857</v>
      </c>
      <c r="F101" s="371">
        <v>91905.5</v>
      </c>
      <c r="G101" s="371">
        <v>92834</v>
      </c>
      <c r="H101" s="368">
        <v>15211.679797187964</v>
      </c>
      <c r="I101" s="370">
        <v>15211.679797187964</v>
      </c>
      <c r="J101" s="162">
        <v>0</v>
      </c>
      <c r="K101" s="162"/>
      <c r="L101" s="380">
        <f t="shared" si="19"/>
        <v>15211.679797187964</v>
      </c>
      <c r="M101" s="381">
        <f>IF(L101&lt;&gt;0,+H101-L101,0)</f>
        <v>0</v>
      </c>
      <c r="N101" s="380">
        <f t="shared" si="21"/>
        <v>15211.679797187964</v>
      </c>
      <c r="O101" s="162">
        <f>IF(N101&lt;&gt;0,+I101-N101,0)</f>
        <v>0</v>
      </c>
      <c r="P101" s="162">
        <f>+O101-M101</f>
        <v>0</v>
      </c>
    </row>
    <row r="102" spans="1:16">
      <c r="B102" s="9" t="str">
        <f t="shared" si="24"/>
        <v/>
      </c>
      <c r="C102" s="157">
        <f>IF(D93="","-",+C101+1)</f>
        <v>2013</v>
      </c>
      <c r="D102" s="366">
        <v>91905.5</v>
      </c>
      <c r="E102" s="368">
        <v>1857</v>
      </c>
      <c r="F102" s="371">
        <v>90048.5</v>
      </c>
      <c r="G102" s="371">
        <v>90977</v>
      </c>
      <c r="H102" s="368">
        <v>14952.192437840908</v>
      </c>
      <c r="I102" s="370">
        <v>14952.192437840908</v>
      </c>
      <c r="J102" s="162">
        <v>0</v>
      </c>
      <c r="K102" s="162"/>
      <c r="L102" s="380">
        <f t="shared" si="19"/>
        <v>14952.192437840908</v>
      </c>
      <c r="M102" s="381">
        <f>IF(L102&lt;&gt;0,+H102-L102,0)</f>
        <v>0</v>
      </c>
      <c r="N102" s="380">
        <f t="shared" si="21"/>
        <v>14952.192437840908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2014</v>
      </c>
      <c r="D103" s="366">
        <v>90048.5</v>
      </c>
      <c r="E103" s="368">
        <v>1857</v>
      </c>
      <c r="F103" s="371">
        <v>88191.5</v>
      </c>
      <c r="G103" s="371">
        <v>89120</v>
      </c>
      <c r="H103" s="368">
        <v>14386.907699066522</v>
      </c>
      <c r="I103" s="370">
        <v>14386.907699066522</v>
      </c>
      <c r="J103" s="162">
        <v>0</v>
      </c>
      <c r="K103" s="162"/>
      <c r="L103" s="380">
        <f t="shared" si="19"/>
        <v>14386.907699066522</v>
      </c>
      <c r="M103" s="381">
        <f>IF(L103&lt;&gt;0,+H103-L103,0)</f>
        <v>0</v>
      </c>
      <c r="N103" s="380">
        <f t="shared" si="21"/>
        <v>14386.907699066522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2015</v>
      </c>
      <c r="D104" s="366">
        <v>88191.5</v>
      </c>
      <c r="E104" s="368">
        <v>1857</v>
      </c>
      <c r="F104" s="371">
        <v>86334.5</v>
      </c>
      <c r="G104" s="371">
        <v>87263</v>
      </c>
      <c r="H104" s="368">
        <v>13763.334720904193</v>
      </c>
      <c r="I104" s="370">
        <v>13763.334720904193</v>
      </c>
      <c r="J104" s="162">
        <f t="shared" si="18"/>
        <v>0</v>
      </c>
      <c r="K104" s="162"/>
      <c r="L104" s="380">
        <f t="shared" si="19"/>
        <v>13763.334720904193</v>
      </c>
      <c r="M104" s="381">
        <f>IF(L104&lt;&gt;0,+H104-L104,0)</f>
        <v>0</v>
      </c>
      <c r="N104" s="380">
        <f t="shared" si="21"/>
        <v>13763.334720904193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2016</v>
      </c>
      <c r="D105" s="366">
        <v>86334.5</v>
      </c>
      <c r="E105" s="368">
        <v>2099</v>
      </c>
      <c r="F105" s="371">
        <v>84235.5</v>
      </c>
      <c r="G105" s="371">
        <v>85285</v>
      </c>
      <c r="H105" s="368">
        <v>13093.579642748955</v>
      </c>
      <c r="I105" s="370">
        <v>13093.579642748955</v>
      </c>
      <c r="J105" s="162">
        <v>0</v>
      </c>
      <c r="K105" s="162"/>
      <c r="L105" s="380">
        <f>H105</f>
        <v>13093.579642748955</v>
      </c>
      <c r="M105" s="381">
        <f>IF(L105&lt;&gt;0,+H105-L105,0)</f>
        <v>0</v>
      </c>
      <c r="N105" s="380">
        <f>I105</f>
        <v>13093.579642748955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2017</v>
      </c>
      <c r="D106" s="158">
        <f>IF(F105+SUM(E$99:E105)=D$92,F105,D$92-SUM(E$99:E105))</f>
        <v>84235.5</v>
      </c>
      <c r="E106" s="164">
        <f>IF(+J96&lt;F105,J96,D106)</f>
        <v>2099</v>
      </c>
      <c r="F106" s="163">
        <f t="shared" ref="F106:F129" si="25">+D106-E106</f>
        <v>82136.5</v>
      </c>
      <c r="G106" s="163">
        <f t="shared" ref="G106:G129" si="26">+(F106+D106)/2</f>
        <v>83186</v>
      </c>
      <c r="H106" s="167">
        <f t="shared" ref="H106:H130" si="27">+J$94*G106+E106</f>
        <v>12651.353853573521</v>
      </c>
      <c r="I106" s="317">
        <f t="shared" ref="I106:I130" si="28">+J$95*G106+E106</f>
        <v>12651.353853573521</v>
      </c>
      <c r="J106" s="162">
        <f t="shared" si="18"/>
        <v>0</v>
      </c>
      <c r="K106" s="162"/>
      <c r="L106" s="335"/>
      <c r="M106" s="162">
        <f t="shared" si="20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24"/>
        <v/>
      </c>
      <c r="C107" s="157">
        <f>IF(D93="","-",+C106+1)</f>
        <v>2018</v>
      </c>
      <c r="D107" s="158">
        <f>IF(F106+SUM(E$99:E106)=D$92,F106,D$92-SUM(E$99:E106))</f>
        <v>82136.5</v>
      </c>
      <c r="E107" s="165">
        <f>IF(+J96&lt;F106,J96,D107)</f>
        <v>2099</v>
      </c>
      <c r="F107" s="163">
        <f t="shared" si="25"/>
        <v>80037.5</v>
      </c>
      <c r="G107" s="163">
        <f t="shared" si="26"/>
        <v>81087</v>
      </c>
      <c r="H107" s="167">
        <f t="shared" si="27"/>
        <v>12385.090410943139</v>
      </c>
      <c r="I107" s="317">
        <f t="shared" si="28"/>
        <v>12385.090410943139</v>
      </c>
      <c r="J107" s="162">
        <f t="shared" si="18"/>
        <v>0</v>
      </c>
      <c r="K107" s="162"/>
      <c r="L107" s="335"/>
      <c r="M107" s="162">
        <f t="shared" si="20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2019</v>
      </c>
      <c r="D108" s="158">
        <f>IF(F107+SUM(E$99:E107)=D$92,F107,D$92-SUM(E$99:E107))</f>
        <v>80037.5</v>
      </c>
      <c r="E108" s="165">
        <f>IF(+J96&lt;F107,J96,D108)</f>
        <v>2099</v>
      </c>
      <c r="F108" s="163">
        <f t="shared" si="25"/>
        <v>77938.5</v>
      </c>
      <c r="G108" s="163">
        <f t="shared" si="26"/>
        <v>78988</v>
      </c>
      <c r="H108" s="167">
        <f t="shared" si="27"/>
        <v>12118.826968312758</v>
      </c>
      <c r="I108" s="317">
        <f t="shared" si="28"/>
        <v>12118.826968312758</v>
      </c>
      <c r="J108" s="162">
        <f t="shared" si="18"/>
        <v>0</v>
      </c>
      <c r="K108" s="162"/>
      <c r="L108" s="335"/>
      <c r="M108" s="162">
        <f t="shared" si="20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2020</v>
      </c>
      <c r="D109" s="158">
        <f>IF(F108+SUM(E$99:E108)=D$92,F108,D$92-SUM(E$99:E108))</f>
        <v>77938.5</v>
      </c>
      <c r="E109" s="165">
        <f>IF(+J96&lt;F108,J96,D109)</f>
        <v>2099</v>
      </c>
      <c r="F109" s="163">
        <f t="shared" si="25"/>
        <v>75839.5</v>
      </c>
      <c r="G109" s="163">
        <f t="shared" si="26"/>
        <v>76889</v>
      </c>
      <c r="H109" s="167">
        <f t="shared" si="27"/>
        <v>11852.563525682379</v>
      </c>
      <c r="I109" s="317">
        <f t="shared" si="28"/>
        <v>11852.563525682379</v>
      </c>
      <c r="J109" s="162">
        <f t="shared" si="18"/>
        <v>0</v>
      </c>
      <c r="K109" s="162"/>
      <c r="L109" s="335"/>
      <c r="M109" s="162">
        <f t="shared" si="20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2021</v>
      </c>
      <c r="D110" s="158">
        <f>IF(F109+SUM(E$99:E109)=D$92,F109,D$92-SUM(E$99:E109))</f>
        <v>75839.5</v>
      </c>
      <c r="E110" s="165">
        <f>IF(+J96&lt;F109,J96,D110)</f>
        <v>2099</v>
      </c>
      <c r="F110" s="163">
        <f t="shared" si="25"/>
        <v>73740.5</v>
      </c>
      <c r="G110" s="163">
        <f t="shared" si="26"/>
        <v>74790</v>
      </c>
      <c r="H110" s="167">
        <f t="shared" si="27"/>
        <v>11586.300083051998</v>
      </c>
      <c r="I110" s="317">
        <f t="shared" si="28"/>
        <v>11586.300083051998</v>
      </c>
      <c r="J110" s="162">
        <f t="shared" si="18"/>
        <v>0</v>
      </c>
      <c r="K110" s="162"/>
      <c r="L110" s="335"/>
      <c r="M110" s="162">
        <f t="shared" si="20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2022</v>
      </c>
      <c r="D111" s="158">
        <f>IF(F110+SUM(E$99:E110)=D$92,F110,D$92-SUM(E$99:E110))</f>
        <v>73740.5</v>
      </c>
      <c r="E111" s="165">
        <f>IF(+J96&lt;F110,J96,D111)</f>
        <v>2099</v>
      </c>
      <c r="F111" s="163">
        <f t="shared" si="25"/>
        <v>71641.5</v>
      </c>
      <c r="G111" s="163">
        <f t="shared" si="26"/>
        <v>72691</v>
      </c>
      <c r="H111" s="167">
        <f t="shared" si="27"/>
        <v>11320.036640421618</v>
      </c>
      <c r="I111" s="317">
        <f t="shared" si="28"/>
        <v>11320.036640421618</v>
      </c>
      <c r="J111" s="162">
        <f t="shared" si="18"/>
        <v>0</v>
      </c>
      <c r="K111" s="162"/>
      <c r="L111" s="335"/>
      <c r="M111" s="162">
        <f t="shared" si="20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2023</v>
      </c>
      <c r="D112" s="158">
        <f>IF(F111+SUM(E$99:E111)=D$92,F111,D$92-SUM(E$99:E111))</f>
        <v>71641.5</v>
      </c>
      <c r="E112" s="165">
        <f>IF(+J96&lt;F111,J96,D112)</f>
        <v>2099</v>
      </c>
      <c r="F112" s="163">
        <f t="shared" si="25"/>
        <v>69542.5</v>
      </c>
      <c r="G112" s="163">
        <f t="shared" si="26"/>
        <v>70592</v>
      </c>
      <c r="H112" s="167">
        <f t="shared" si="27"/>
        <v>11053.773197791237</v>
      </c>
      <c r="I112" s="317">
        <f t="shared" si="28"/>
        <v>11053.773197791237</v>
      </c>
      <c r="J112" s="162">
        <f t="shared" si="18"/>
        <v>0</v>
      </c>
      <c r="K112" s="162"/>
      <c r="L112" s="335"/>
      <c r="M112" s="162">
        <f t="shared" si="20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2024</v>
      </c>
      <c r="D113" s="158">
        <f>IF(F112+SUM(E$99:E112)=D$92,F112,D$92-SUM(E$99:E112))</f>
        <v>69542.5</v>
      </c>
      <c r="E113" s="165">
        <f>IF(+J96&lt;F112,J96,D113)</f>
        <v>2099</v>
      </c>
      <c r="F113" s="163">
        <f t="shared" si="25"/>
        <v>67443.5</v>
      </c>
      <c r="G113" s="163">
        <f t="shared" si="26"/>
        <v>68493</v>
      </c>
      <c r="H113" s="167">
        <f t="shared" si="27"/>
        <v>10787.509755160858</v>
      </c>
      <c r="I113" s="317">
        <f t="shared" si="28"/>
        <v>10787.509755160858</v>
      </c>
      <c r="J113" s="162">
        <f t="shared" si="18"/>
        <v>0</v>
      </c>
      <c r="K113" s="162"/>
      <c r="L113" s="335"/>
      <c r="M113" s="162">
        <f t="shared" si="20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2025</v>
      </c>
      <c r="D114" s="158">
        <f>IF(F113+SUM(E$99:E113)=D$92,F113,D$92-SUM(E$99:E113))</f>
        <v>67443.5</v>
      </c>
      <c r="E114" s="165">
        <f>IF(+J96&lt;F113,J96,D114)</f>
        <v>2099</v>
      </c>
      <c r="F114" s="163">
        <f t="shared" si="25"/>
        <v>65344.5</v>
      </c>
      <c r="G114" s="163">
        <f t="shared" si="26"/>
        <v>66394</v>
      </c>
      <c r="H114" s="167">
        <f t="shared" si="27"/>
        <v>10521.246312530477</v>
      </c>
      <c r="I114" s="317">
        <f t="shared" si="28"/>
        <v>10521.246312530477</v>
      </c>
      <c r="J114" s="162">
        <f t="shared" si="18"/>
        <v>0</v>
      </c>
      <c r="K114" s="162"/>
      <c r="L114" s="335"/>
      <c r="M114" s="162">
        <f t="shared" si="20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2026</v>
      </c>
      <c r="D115" s="158">
        <f>IF(F114+SUM(E$99:E114)=D$92,F114,D$92-SUM(E$99:E114))</f>
        <v>65344.5</v>
      </c>
      <c r="E115" s="165">
        <f>IF(+J96&lt;F114,J96,D115)</f>
        <v>2099</v>
      </c>
      <c r="F115" s="163">
        <f t="shared" si="25"/>
        <v>63245.5</v>
      </c>
      <c r="G115" s="163">
        <f t="shared" si="26"/>
        <v>64295</v>
      </c>
      <c r="H115" s="167">
        <f t="shared" si="27"/>
        <v>10254.982869900097</v>
      </c>
      <c r="I115" s="317">
        <f t="shared" si="28"/>
        <v>10254.982869900097</v>
      </c>
      <c r="J115" s="162">
        <f t="shared" si="18"/>
        <v>0</v>
      </c>
      <c r="K115" s="162"/>
      <c r="L115" s="335"/>
      <c r="M115" s="162">
        <f t="shared" si="20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2027</v>
      </c>
      <c r="D116" s="158">
        <f>IF(F115+SUM(E$99:E115)=D$92,F115,D$92-SUM(E$99:E115))</f>
        <v>63245.5</v>
      </c>
      <c r="E116" s="165">
        <f>IF(+J96&lt;F115,J96,D116)</f>
        <v>2099</v>
      </c>
      <c r="F116" s="163">
        <f t="shared" si="25"/>
        <v>61146.5</v>
      </c>
      <c r="G116" s="163">
        <f t="shared" si="26"/>
        <v>62196</v>
      </c>
      <c r="H116" s="167">
        <f t="shared" si="27"/>
        <v>9988.7194272697161</v>
      </c>
      <c r="I116" s="317">
        <f t="shared" si="28"/>
        <v>9988.7194272697161</v>
      </c>
      <c r="J116" s="162">
        <f t="shared" si="18"/>
        <v>0</v>
      </c>
      <c r="K116" s="162"/>
      <c r="L116" s="335"/>
      <c r="M116" s="162">
        <f t="shared" si="20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2028</v>
      </c>
      <c r="D117" s="158">
        <f>IF(F116+SUM(E$99:E116)=D$92,F116,D$92-SUM(E$99:E116))</f>
        <v>61146.5</v>
      </c>
      <c r="E117" s="165">
        <f>IF(+J96&lt;F116,J96,D117)</f>
        <v>2099</v>
      </c>
      <c r="F117" s="163">
        <f t="shared" si="25"/>
        <v>59047.5</v>
      </c>
      <c r="G117" s="163">
        <f t="shared" si="26"/>
        <v>60097</v>
      </c>
      <c r="H117" s="167">
        <f t="shared" si="27"/>
        <v>9722.4559846393349</v>
      </c>
      <c r="I117" s="317">
        <f t="shared" si="28"/>
        <v>9722.4559846393349</v>
      </c>
      <c r="J117" s="162">
        <f t="shared" si="18"/>
        <v>0</v>
      </c>
      <c r="K117" s="162"/>
      <c r="L117" s="335"/>
      <c r="M117" s="162">
        <f t="shared" si="20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2029</v>
      </c>
      <c r="D118" s="158">
        <f>IF(F117+SUM(E$99:E117)=D$92,F117,D$92-SUM(E$99:E117))</f>
        <v>59047.5</v>
      </c>
      <c r="E118" s="165">
        <f>IF(+J96&lt;F117,J96,D118)</f>
        <v>2099</v>
      </c>
      <c r="F118" s="163">
        <f t="shared" si="25"/>
        <v>56948.5</v>
      </c>
      <c r="G118" s="163">
        <f t="shared" si="26"/>
        <v>57998</v>
      </c>
      <c r="H118" s="167">
        <f t="shared" si="27"/>
        <v>9456.1925420089556</v>
      </c>
      <c r="I118" s="317">
        <f t="shared" si="28"/>
        <v>9456.1925420089556</v>
      </c>
      <c r="J118" s="162">
        <f t="shared" si="18"/>
        <v>0</v>
      </c>
      <c r="K118" s="162"/>
      <c r="L118" s="335"/>
      <c r="M118" s="162">
        <f t="shared" si="20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2030</v>
      </c>
      <c r="D119" s="158">
        <f>IF(F118+SUM(E$99:E118)=D$92,F118,D$92-SUM(E$99:E118))</f>
        <v>56948.5</v>
      </c>
      <c r="E119" s="165">
        <f>IF(+J96&lt;F118,J96,D119)</f>
        <v>2099</v>
      </c>
      <c r="F119" s="163">
        <f t="shared" si="25"/>
        <v>54849.5</v>
      </c>
      <c r="G119" s="163">
        <f t="shared" si="26"/>
        <v>55899</v>
      </c>
      <c r="H119" s="167">
        <f t="shared" si="27"/>
        <v>9189.9290993785762</v>
      </c>
      <c r="I119" s="317">
        <f t="shared" si="28"/>
        <v>9189.9290993785762</v>
      </c>
      <c r="J119" s="162">
        <f t="shared" si="18"/>
        <v>0</v>
      </c>
      <c r="K119" s="162"/>
      <c r="L119" s="335"/>
      <c r="M119" s="162">
        <f t="shared" si="20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2031</v>
      </c>
      <c r="D120" s="158">
        <f>IF(F119+SUM(E$99:E119)=D$92,F119,D$92-SUM(E$99:E119))</f>
        <v>54849.5</v>
      </c>
      <c r="E120" s="165">
        <f>IF(+J96&lt;F119,J96,D120)</f>
        <v>2099</v>
      </c>
      <c r="F120" s="163">
        <f t="shared" si="25"/>
        <v>52750.5</v>
      </c>
      <c r="G120" s="163">
        <f t="shared" si="26"/>
        <v>53800</v>
      </c>
      <c r="H120" s="167">
        <f t="shared" si="27"/>
        <v>8923.665656748195</v>
      </c>
      <c r="I120" s="317">
        <f t="shared" si="28"/>
        <v>8923.665656748195</v>
      </c>
      <c r="J120" s="162">
        <f t="shared" si="18"/>
        <v>0</v>
      </c>
      <c r="K120" s="162"/>
      <c r="L120" s="335"/>
      <c r="M120" s="162">
        <f t="shared" si="20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2032</v>
      </c>
      <c r="D121" s="158">
        <f>IF(F120+SUM(E$99:E120)=D$92,F120,D$92-SUM(E$99:E120))</f>
        <v>52750.5</v>
      </c>
      <c r="E121" s="165">
        <f>IF(+J96&lt;F120,J96,D121)</f>
        <v>2099</v>
      </c>
      <c r="F121" s="163">
        <f t="shared" si="25"/>
        <v>50651.5</v>
      </c>
      <c r="G121" s="163">
        <f t="shared" si="26"/>
        <v>51701</v>
      </c>
      <c r="H121" s="167">
        <f t="shared" si="27"/>
        <v>8657.4022141178139</v>
      </c>
      <c r="I121" s="317">
        <f t="shared" si="28"/>
        <v>8657.4022141178139</v>
      </c>
      <c r="J121" s="162">
        <f t="shared" si="18"/>
        <v>0</v>
      </c>
      <c r="K121" s="162"/>
      <c r="L121" s="335"/>
      <c r="M121" s="162">
        <f t="shared" si="20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2033</v>
      </c>
      <c r="D122" s="158">
        <f>IF(F121+SUM(E$99:E121)=D$92,F121,D$92-SUM(E$99:E121))</f>
        <v>50651.5</v>
      </c>
      <c r="E122" s="165">
        <f>IF(+J96&lt;F121,J96,D122)</f>
        <v>2099</v>
      </c>
      <c r="F122" s="163">
        <f t="shared" si="25"/>
        <v>48552.5</v>
      </c>
      <c r="G122" s="163">
        <f t="shared" si="26"/>
        <v>49602</v>
      </c>
      <c r="H122" s="167">
        <f t="shared" si="27"/>
        <v>8391.1387714874345</v>
      </c>
      <c r="I122" s="317">
        <f t="shared" si="28"/>
        <v>8391.1387714874345</v>
      </c>
      <c r="J122" s="162">
        <f t="shared" si="18"/>
        <v>0</v>
      </c>
      <c r="K122" s="162"/>
      <c r="L122" s="335"/>
      <c r="M122" s="162">
        <f t="shared" si="20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2034</v>
      </c>
      <c r="D123" s="158">
        <f>IF(F122+SUM(E$99:E122)=D$92,F122,D$92-SUM(E$99:E122))</f>
        <v>48552.5</v>
      </c>
      <c r="E123" s="165">
        <f>IF(+J96&lt;F122,J96,D123)</f>
        <v>2099</v>
      </c>
      <c r="F123" s="163">
        <f t="shared" si="25"/>
        <v>46453.5</v>
      </c>
      <c r="G123" s="163">
        <f t="shared" si="26"/>
        <v>47503</v>
      </c>
      <c r="H123" s="167">
        <f t="shared" si="27"/>
        <v>8124.8753288570542</v>
      </c>
      <c r="I123" s="317">
        <f t="shared" si="28"/>
        <v>8124.8753288570542</v>
      </c>
      <c r="J123" s="162">
        <f t="shared" si="18"/>
        <v>0</v>
      </c>
      <c r="K123" s="162"/>
      <c r="L123" s="335"/>
      <c r="M123" s="162">
        <f t="shared" si="20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2035</v>
      </c>
      <c r="D124" s="158">
        <f>IF(F123+SUM(E$99:E123)=D$92,F123,D$92-SUM(E$99:E123))</f>
        <v>46453.5</v>
      </c>
      <c r="E124" s="165">
        <f>IF(+J96&lt;F123,J96,D124)</f>
        <v>2099</v>
      </c>
      <c r="F124" s="163">
        <f t="shared" si="25"/>
        <v>44354.5</v>
      </c>
      <c r="G124" s="163">
        <f t="shared" si="26"/>
        <v>45404</v>
      </c>
      <c r="H124" s="167">
        <f t="shared" si="27"/>
        <v>7858.611886226674</v>
      </c>
      <c r="I124" s="317">
        <f t="shared" si="28"/>
        <v>7858.611886226674</v>
      </c>
      <c r="J124" s="162">
        <f t="shared" si="18"/>
        <v>0</v>
      </c>
      <c r="K124" s="162"/>
      <c r="L124" s="335"/>
      <c r="M124" s="162">
        <f t="shared" si="20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2036</v>
      </c>
      <c r="D125" s="158">
        <f>IF(F124+SUM(E$99:E124)=D$92,F124,D$92-SUM(E$99:E124))</f>
        <v>44354.5</v>
      </c>
      <c r="E125" s="165">
        <f>IF(+J96&lt;F124,J96,D125)</f>
        <v>2099</v>
      </c>
      <c r="F125" s="163">
        <f t="shared" si="25"/>
        <v>42255.5</v>
      </c>
      <c r="G125" s="163">
        <f t="shared" si="26"/>
        <v>43305</v>
      </c>
      <c r="H125" s="167">
        <f t="shared" si="27"/>
        <v>7592.3484435962937</v>
      </c>
      <c r="I125" s="317">
        <f t="shared" si="28"/>
        <v>7592.3484435962937</v>
      </c>
      <c r="J125" s="162">
        <f t="shared" si="18"/>
        <v>0</v>
      </c>
      <c r="K125" s="162"/>
      <c r="L125" s="335"/>
      <c r="M125" s="162">
        <f t="shared" si="20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2037</v>
      </c>
      <c r="D126" s="158">
        <f>IF(F125+SUM(E$99:E125)=D$92,F125,D$92-SUM(E$99:E125))</f>
        <v>42255.5</v>
      </c>
      <c r="E126" s="165">
        <f>IF(+J96&lt;F125,J96,D126)</f>
        <v>2099</v>
      </c>
      <c r="F126" s="163">
        <f t="shared" si="25"/>
        <v>40156.5</v>
      </c>
      <c r="G126" s="163">
        <f t="shared" si="26"/>
        <v>41206</v>
      </c>
      <c r="H126" s="167">
        <f t="shared" si="27"/>
        <v>7326.0850009659134</v>
      </c>
      <c r="I126" s="317">
        <f t="shared" si="28"/>
        <v>7326.0850009659134</v>
      </c>
      <c r="J126" s="162">
        <f t="shared" si="18"/>
        <v>0</v>
      </c>
      <c r="K126" s="162"/>
      <c r="L126" s="335"/>
      <c r="M126" s="162">
        <f t="shared" si="20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2038</v>
      </c>
      <c r="D127" s="158">
        <f>IF(F126+SUM(E$99:E126)=D$92,F126,D$92-SUM(E$99:E126))</f>
        <v>40156.5</v>
      </c>
      <c r="E127" s="165">
        <f>IF(+J96&lt;F126,J96,D127)</f>
        <v>2099</v>
      </c>
      <c r="F127" s="163">
        <f t="shared" si="25"/>
        <v>38057.5</v>
      </c>
      <c r="G127" s="163">
        <f t="shared" si="26"/>
        <v>39107</v>
      </c>
      <c r="H127" s="167">
        <f t="shared" si="27"/>
        <v>7059.8215583355332</v>
      </c>
      <c r="I127" s="317">
        <f t="shared" si="28"/>
        <v>7059.8215583355332</v>
      </c>
      <c r="J127" s="162">
        <f t="shared" si="18"/>
        <v>0</v>
      </c>
      <c r="K127" s="162"/>
      <c r="L127" s="335"/>
      <c r="M127" s="162">
        <f t="shared" si="20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2039</v>
      </c>
      <c r="D128" s="158">
        <f>IF(F127+SUM(E$99:E127)=D$92,F127,D$92-SUM(E$99:E127))</f>
        <v>38057.5</v>
      </c>
      <c r="E128" s="165">
        <f>IF(+J96&lt;F127,J96,D128)</f>
        <v>2099</v>
      </c>
      <c r="F128" s="163">
        <f t="shared" si="25"/>
        <v>35958.5</v>
      </c>
      <c r="G128" s="163">
        <f t="shared" si="26"/>
        <v>37008</v>
      </c>
      <c r="H128" s="167">
        <f t="shared" si="27"/>
        <v>6793.5581157051529</v>
      </c>
      <c r="I128" s="317">
        <f t="shared" si="28"/>
        <v>6793.5581157051529</v>
      </c>
      <c r="J128" s="162">
        <f t="shared" si="18"/>
        <v>0</v>
      </c>
      <c r="K128" s="162"/>
      <c r="L128" s="335"/>
      <c r="M128" s="162">
        <f t="shared" si="20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2040</v>
      </c>
      <c r="D129" s="158">
        <f>IF(F128+SUM(E$99:E128)=D$92,F128,D$92-SUM(E$99:E128))</f>
        <v>35958.5</v>
      </c>
      <c r="E129" s="165">
        <f>IF(+J96&lt;F128,J96,D129)</f>
        <v>2099</v>
      </c>
      <c r="F129" s="163">
        <f t="shared" si="25"/>
        <v>33859.5</v>
      </c>
      <c r="G129" s="163">
        <f t="shared" si="26"/>
        <v>34909</v>
      </c>
      <c r="H129" s="167">
        <f t="shared" si="27"/>
        <v>6527.2946730747726</v>
      </c>
      <c r="I129" s="317">
        <f t="shared" si="28"/>
        <v>6527.2946730747726</v>
      </c>
      <c r="J129" s="162">
        <f t="shared" si="18"/>
        <v>0</v>
      </c>
      <c r="K129" s="162"/>
      <c r="L129" s="335"/>
      <c r="M129" s="162">
        <f t="shared" si="20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2041</v>
      </c>
      <c r="D130" s="158">
        <f>IF(F129+SUM(E$99:E129)=D$92,F129,D$92-SUM(E$99:E129))</f>
        <v>33859.5</v>
      </c>
      <c r="E130" s="165">
        <f>IF(+J96&lt;F129,J96,D130)</f>
        <v>2099</v>
      </c>
      <c r="F130" s="163">
        <f t="shared" ref="F130:F145" si="29">+D130-E130</f>
        <v>31760.5</v>
      </c>
      <c r="G130" s="163">
        <f t="shared" ref="G130:G145" si="30">+(F130+D130)/2</f>
        <v>32810</v>
      </c>
      <c r="H130" s="167">
        <f t="shared" si="27"/>
        <v>6261.0312304443914</v>
      </c>
      <c r="I130" s="317">
        <f t="shared" si="28"/>
        <v>6261.0312304443914</v>
      </c>
      <c r="J130" s="162">
        <f t="shared" si="18"/>
        <v>0</v>
      </c>
      <c r="K130" s="162"/>
      <c r="L130" s="335"/>
      <c r="M130" s="162">
        <f t="shared" si="20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2042</v>
      </c>
      <c r="D131" s="158">
        <f>IF(F130+SUM(E$99:E130)=D$92,F130,D$92-SUM(E$99:E130))</f>
        <v>31760.5</v>
      </c>
      <c r="E131" s="165">
        <f>IF(+J96&lt;F130,J96,D131)</f>
        <v>2099</v>
      </c>
      <c r="F131" s="163">
        <f t="shared" si="29"/>
        <v>29661.5</v>
      </c>
      <c r="G131" s="163">
        <f t="shared" si="30"/>
        <v>30711</v>
      </c>
      <c r="H131" s="167">
        <f t="shared" ref="H131:H154" si="31">+J$94*G131+E131</f>
        <v>5994.7677878140112</v>
      </c>
      <c r="I131" s="317">
        <f t="shared" ref="I131:I154" si="32">+J$95*G131+E131</f>
        <v>5994.7677878140112</v>
      </c>
      <c r="J131" s="162">
        <f t="shared" ref="J131:J154" si="33">+I541-H541</f>
        <v>0</v>
      </c>
      <c r="K131" s="162"/>
      <c r="L131" s="335"/>
      <c r="M131" s="162">
        <f t="shared" ref="M131:M154" si="34">IF(L541&lt;&gt;0,+H541-L541,0)</f>
        <v>0</v>
      </c>
      <c r="N131" s="335"/>
      <c r="O131" s="162">
        <f t="shared" ref="O131:O154" si="35">IF(N541&lt;&gt;0,+I541-N541,0)</f>
        <v>0</v>
      </c>
      <c r="P131" s="162">
        <f t="shared" ref="P131:P154" si="36">+O541-M541</f>
        <v>0</v>
      </c>
    </row>
    <row r="132" spans="2:16">
      <c r="B132" s="9" t="str">
        <f t="shared" si="24"/>
        <v/>
      </c>
      <c r="C132" s="157">
        <f>IF(D93="","-",+C131+1)</f>
        <v>2043</v>
      </c>
      <c r="D132" s="158">
        <f>IF(F131+SUM(E$99:E131)=D$92,F131,D$92-SUM(E$99:E131))</f>
        <v>29661.5</v>
      </c>
      <c r="E132" s="165">
        <f>IF(+J96&lt;F131,J96,D132)</f>
        <v>2099</v>
      </c>
      <c r="F132" s="163">
        <f t="shared" si="29"/>
        <v>27562.5</v>
      </c>
      <c r="G132" s="163">
        <f t="shared" si="30"/>
        <v>28612</v>
      </c>
      <c r="H132" s="167">
        <f t="shared" si="31"/>
        <v>5728.5043451836318</v>
      </c>
      <c r="I132" s="317">
        <f t="shared" si="32"/>
        <v>5728.5043451836318</v>
      </c>
      <c r="J132" s="162">
        <f t="shared" si="33"/>
        <v>0</v>
      </c>
      <c r="K132" s="162"/>
      <c r="L132" s="335"/>
      <c r="M132" s="162">
        <f t="shared" si="34"/>
        <v>0</v>
      </c>
      <c r="N132" s="335"/>
      <c r="O132" s="162">
        <f t="shared" si="35"/>
        <v>0</v>
      </c>
      <c r="P132" s="162">
        <f t="shared" si="36"/>
        <v>0</v>
      </c>
    </row>
    <row r="133" spans="2:16">
      <c r="B133" s="9" t="str">
        <f t="shared" si="24"/>
        <v/>
      </c>
      <c r="C133" s="157">
        <f>IF(D93="","-",+C132+1)</f>
        <v>2044</v>
      </c>
      <c r="D133" s="158">
        <f>IF(F132+SUM(E$99:E132)=D$92,F132,D$92-SUM(E$99:E132))</f>
        <v>27562.5</v>
      </c>
      <c r="E133" s="165">
        <f>IF(+J96&lt;F132,J96,D133)</f>
        <v>2099</v>
      </c>
      <c r="F133" s="163">
        <f t="shared" si="29"/>
        <v>25463.5</v>
      </c>
      <c r="G133" s="163">
        <f t="shared" si="30"/>
        <v>26513</v>
      </c>
      <c r="H133" s="167">
        <f t="shared" si="31"/>
        <v>5462.2409025532506</v>
      </c>
      <c r="I133" s="317">
        <f t="shared" si="32"/>
        <v>5462.2409025532506</v>
      </c>
      <c r="J133" s="162">
        <f t="shared" si="33"/>
        <v>0</v>
      </c>
      <c r="K133" s="162"/>
      <c r="L133" s="335"/>
      <c r="M133" s="162">
        <f t="shared" si="34"/>
        <v>0</v>
      </c>
      <c r="N133" s="335"/>
      <c r="O133" s="162">
        <f t="shared" si="35"/>
        <v>0</v>
      </c>
      <c r="P133" s="162">
        <f t="shared" si="36"/>
        <v>0</v>
      </c>
    </row>
    <row r="134" spans="2:16">
      <c r="B134" s="9" t="str">
        <f t="shared" si="24"/>
        <v/>
      </c>
      <c r="C134" s="157">
        <f>IF(D93="","-",+C133+1)</f>
        <v>2045</v>
      </c>
      <c r="D134" s="158">
        <f>IF(F133+SUM(E$99:E133)=D$92,F133,D$92-SUM(E$99:E133))</f>
        <v>25463.5</v>
      </c>
      <c r="E134" s="165">
        <f>IF(+J96&lt;F133,J96,D134)</f>
        <v>2099</v>
      </c>
      <c r="F134" s="163">
        <f t="shared" si="29"/>
        <v>23364.5</v>
      </c>
      <c r="G134" s="163">
        <f t="shared" si="30"/>
        <v>24414</v>
      </c>
      <c r="H134" s="167">
        <f t="shared" si="31"/>
        <v>5195.9774599228704</v>
      </c>
      <c r="I134" s="317">
        <f t="shared" si="32"/>
        <v>5195.9774599228704</v>
      </c>
      <c r="J134" s="162">
        <f t="shared" si="33"/>
        <v>0</v>
      </c>
      <c r="K134" s="162"/>
      <c r="L134" s="335"/>
      <c r="M134" s="162">
        <f t="shared" si="34"/>
        <v>0</v>
      </c>
      <c r="N134" s="335"/>
      <c r="O134" s="162">
        <f t="shared" si="35"/>
        <v>0</v>
      </c>
      <c r="P134" s="162">
        <f t="shared" si="36"/>
        <v>0</v>
      </c>
    </row>
    <row r="135" spans="2:16">
      <c r="B135" s="9" t="str">
        <f t="shared" si="24"/>
        <v/>
      </c>
      <c r="C135" s="157">
        <f>IF(D93="","-",+C134+1)</f>
        <v>2046</v>
      </c>
      <c r="D135" s="158">
        <f>IF(F134+SUM(E$99:E134)=D$92,F134,D$92-SUM(E$99:E134))</f>
        <v>23364.5</v>
      </c>
      <c r="E135" s="165">
        <f>IF(+J96&lt;F134,J96,D135)</f>
        <v>2099</v>
      </c>
      <c r="F135" s="163">
        <f t="shared" si="29"/>
        <v>21265.5</v>
      </c>
      <c r="G135" s="163">
        <f t="shared" si="30"/>
        <v>22315</v>
      </c>
      <c r="H135" s="167">
        <f t="shared" si="31"/>
        <v>4929.7140172924901</v>
      </c>
      <c r="I135" s="317">
        <f t="shared" si="32"/>
        <v>4929.7140172924901</v>
      </c>
      <c r="J135" s="162">
        <f t="shared" si="33"/>
        <v>0</v>
      </c>
      <c r="K135" s="162"/>
      <c r="L135" s="335"/>
      <c r="M135" s="162">
        <f t="shared" si="34"/>
        <v>0</v>
      </c>
      <c r="N135" s="335"/>
      <c r="O135" s="162">
        <f t="shared" si="35"/>
        <v>0</v>
      </c>
      <c r="P135" s="162">
        <f t="shared" si="36"/>
        <v>0</v>
      </c>
    </row>
    <row r="136" spans="2:16">
      <c r="B136" s="9" t="str">
        <f t="shared" si="24"/>
        <v/>
      </c>
      <c r="C136" s="157">
        <f>IF(D93="","-",+C135+1)</f>
        <v>2047</v>
      </c>
      <c r="D136" s="158">
        <f>IF(F135+SUM(E$99:E135)=D$92,F135,D$92-SUM(E$99:E135))</f>
        <v>21265.5</v>
      </c>
      <c r="E136" s="165">
        <f>IF(+J96&lt;F135,J96,D136)</f>
        <v>2099</v>
      </c>
      <c r="F136" s="163">
        <f t="shared" si="29"/>
        <v>19166.5</v>
      </c>
      <c r="G136" s="163">
        <f t="shared" si="30"/>
        <v>20216</v>
      </c>
      <c r="H136" s="167">
        <f t="shared" si="31"/>
        <v>4663.4505746621098</v>
      </c>
      <c r="I136" s="317">
        <f t="shared" si="32"/>
        <v>4663.4505746621098</v>
      </c>
      <c r="J136" s="162">
        <f t="shared" si="33"/>
        <v>0</v>
      </c>
      <c r="K136" s="162"/>
      <c r="L136" s="335"/>
      <c r="M136" s="162">
        <f t="shared" si="34"/>
        <v>0</v>
      </c>
      <c r="N136" s="335"/>
      <c r="O136" s="162">
        <f t="shared" si="35"/>
        <v>0</v>
      </c>
      <c r="P136" s="162">
        <f t="shared" si="36"/>
        <v>0</v>
      </c>
    </row>
    <row r="137" spans="2:16">
      <c r="B137" s="9" t="str">
        <f t="shared" si="24"/>
        <v/>
      </c>
      <c r="C137" s="157">
        <f>IF(D93="","-",+C136+1)</f>
        <v>2048</v>
      </c>
      <c r="D137" s="158">
        <f>IF(F136+SUM(E$99:E136)=D$92,F136,D$92-SUM(E$99:E136))</f>
        <v>19166.5</v>
      </c>
      <c r="E137" s="165">
        <f>IF(+J96&lt;F136,J96,D137)</f>
        <v>2099</v>
      </c>
      <c r="F137" s="163">
        <f t="shared" si="29"/>
        <v>17067.5</v>
      </c>
      <c r="G137" s="163">
        <f t="shared" si="30"/>
        <v>18117</v>
      </c>
      <c r="H137" s="167">
        <f t="shared" si="31"/>
        <v>4397.1871320317296</v>
      </c>
      <c r="I137" s="317">
        <f t="shared" si="32"/>
        <v>4397.1871320317296</v>
      </c>
      <c r="J137" s="162">
        <f t="shared" si="33"/>
        <v>0</v>
      </c>
      <c r="K137" s="162"/>
      <c r="L137" s="335"/>
      <c r="M137" s="162">
        <f t="shared" si="34"/>
        <v>0</v>
      </c>
      <c r="N137" s="335"/>
      <c r="O137" s="162">
        <f t="shared" si="35"/>
        <v>0</v>
      </c>
      <c r="P137" s="162">
        <f t="shared" si="36"/>
        <v>0</v>
      </c>
    </row>
    <row r="138" spans="2:16">
      <c r="B138" s="9" t="str">
        <f t="shared" si="24"/>
        <v/>
      </c>
      <c r="C138" s="157">
        <f>IF(D93="","-",+C137+1)</f>
        <v>2049</v>
      </c>
      <c r="D138" s="158">
        <f>IF(F137+SUM(E$99:E137)=D$92,F137,D$92-SUM(E$99:E137))</f>
        <v>17067.5</v>
      </c>
      <c r="E138" s="165">
        <f>IF(+J96&lt;F137,J96,D138)</f>
        <v>2099</v>
      </c>
      <c r="F138" s="163">
        <f t="shared" si="29"/>
        <v>14968.5</v>
      </c>
      <c r="G138" s="163">
        <f t="shared" si="30"/>
        <v>16018</v>
      </c>
      <c r="H138" s="167">
        <f t="shared" si="31"/>
        <v>4130.9236894013493</v>
      </c>
      <c r="I138" s="317">
        <f t="shared" si="32"/>
        <v>4130.9236894013493</v>
      </c>
      <c r="J138" s="162">
        <f t="shared" si="33"/>
        <v>0</v>
      </c>
      <c r="K138" s="162"/>
      <c r="L138" s="335"/>
      <c r="M138" s="162">
        <f t="shared" si="34"/>
        <v>0</v>
      </c>
      <c r="N138" s="335"/>
      <c r="O138" s="162">
        <f t="shared" si="35"/>
        <v>0</v>
      </c>
      <c r="P138" s="162">
        <f t="shared" si="36"/>
        <v>0</v>
      </c>
    </row>
    <row r="139" spans="2:16">
      <c r="B139" s="9" t="str">
        <f t="shared" si="24"/>
        <v/>
      </c>
      <c r="C139" s="157">
        <f>IF(D93="","-",+C138+1)</f>
        <v>2050</v>
      </c>
      <c r="D139" s="158">
        <f>IF(F138+SUM(E$99:E138)=D$92,F138,D$92-SUM(E$99:E138))</f>
        <v>14968.5</v>
      </c>
      <c r="E139" s="165">
        <f>IF(+J96&lt;F138,J96,D139)</f>
        <v>2099</v>
      </c>
      <c r="F139" s="163">
        <f t="shared" si="29"/>
        <v>12869.5</v>
      </c>
      <c r="G139" s="163">
        <f t="shared" si="30"/>
        <v>13919</v>
      </c>
      <c r="H139" s="167">
        <f t="shared" si="31"/>
        <v>3864.660246770969</v>
      </c>
      <c r="I139" s="317">
        <f t="shared" si="32"/>
        <v>3864.660246770969</v>
      </c>
      <c r="J139" s="162">
        <f t="shared" si="33"/>
        <v>0</v>
      </c>
      <c r="K139" s="162"/>
      <c r="L139" s="335"/>
      <c r="M139" s="162">
        <f t="shared" si="34"/>
        <v>0</v>
      </c>
      <c r="N139" s="335"/>
      <c r="O139" s="162">
        <f t="shared" si="35"/>
        <v>0</v>
      </c>
      <c r="P139" s="162">
        <f t="shared" si="36"/>
        <v>0</v>
      </c>
    </row>
    <row r="140" spans="2:16">
      <c r="B140" s="9" t="str">
        <f t="shared" si="24"/>
        <v/>
      </c>
      <c r="C140" s="157">
        <f>IF(D93="","-",+C139+1)</f>
        <v>2051</v>
      </c>
      <c r="D140" s="158">
        <f>IF(F139+SUM(E$99:E139)=D$92,F139,D$92-SUM(E$99:E139))</f>
        <v>12869.5</v>
      </c>
      <c r="E140" s="165">
        <f>IF(+J96&lt;F139,J96,D140)</f>
        <v>2099</v>
      </c>
      <c r="F140" s="163">
        <f t="shared" si="29"/>
        <v>10770.5</v>
      </c>
      <c r="G140" s="163">
        <f t="shared" si="30"/>
        <v>11820</v>
      </c>
      <c r="H140" s="167">
        <f t="shared" si="31"/>
        <v>3598.3968041405888</v>
      </c>
      <c r="I140" s="317">
        <f t="shared" si="32"/>
        <v>3598.3968041405888</v>
      </c>
      <c r="J140" s="162">
        <f t="shared" si="33"/>
        <v>0</v>
      </c>
      <c r="K140" s="162"/>
      <c r="L140" s="335"/>
      <c r="M140" s="162">
        <f t="shared" si="34"/>
        <v>0</v>
      </c>
      <c r="N140" s="335"/>
      <c r="O140" s="162">
        <f t="shared" si="35"/>
        <v>0</v>
      </c>
      <c r="P140" s="162">
        <f t="shared" si="36"/>
        <v>0</v>
      </c>
    </row>
    <row r="141" spans="2:16">
      <c r="B141" s="9" t="str">
        <f t="shared" si="24"/>
        <v/>
      </c>
      <c r="C141" s="157">
        <f>IF(D93="","-",+C140+1)</f>
        <v>2052</v>
      </c>
      <c r="D141" s="158">
        <f>IF(F140+SUM(E$99:E140)=D$92,F140,D$92-SUM(E$99:E140))</f>
        <v>10770.5</v>
      </c>
      <c r="E141" s="165">
        <f>IF(+J96&lt;F140,J96,D141)</f>
        <v>2099</v>
      </c>
      <c r="F141" s="163">
        <f t="shared" si="29"/>
        <v>8671.5</v>
      </c>
      <c r="G141" s="163">
        <f t="shared" si="30"/>
        <v>9721</v>
      </c>
      <c r="H141" s="167">
        <f t="shared" si="31"/>
        <v>3332.1333615102085</v>
      </c>
      <c r="I141" s="317">
        <f t="shared" si="32"/>
        <v>3332.1333615102085</v>
      </c>
      <c r="J141" s="162">
        <f t="shared" si="33"/>
        <v>0</v>
      </c>
      <c r="K141" s="162"/>
      <c r="L141" s="335"/>
      <c r="M141" s="162">
        <f t="shared" si="34"/>
        <v>0</v>
      </c>
      <c r="N141" s="335"/>
      <c r="O141" s="162">
        <f t="shared" si="35"/>
        <v>0</v>
      </c>
      <c r="P141" s="162">
        <f t="shared" si="36"/>
        <v>0</v>
      </c>
    </row>
    <row r="142" spans="2:16">
      <c r="B142" s="9" t="str">
        <f t="shared" si="24"/>
        <v/>
      </c>
      <c r="C142" s="157">
        <f>IF(D93="","-",+C141+1)</f>
        <v>2053</v>
      </c>
      <c r="D142" s="158">
        <f>IF(F141+SUM(E$99:E141)=D$92,F141,D$92-SUM(E$99:E141))</f>
        <v>8671.5</v>
      </c>
      <c r="E142" s="165">
        <f>IF(+J96&lt;F141,J96,D142)</f>
        <v>2099</v>
      </c>
      <c r="F142" s="163">
        <f t="shared" si="29"/>
        <v>6572.5</v>
      </c>
      <c r="G142" s="163">
        <f t="shared" si="30"/>
        <v>7622</v>
      </c>
      <c r="H142" s="167">
        <f t="shared" si="31"/>
        <v>3065.8699188798282</v>
      </c>
      <c r="I142" s="317">
        <f t="shared" si="32"/>
        <v>3065.8699188798282</v>
      </c>
      <c r="J142" s="162">
        <f t="shared" si="33"/>
        <v>0</v>
      </c>
      <c r="K142" s="162"/>
      <c r="L142" s="335"/>
      <c r="M142" s="162">
        <f t="shared" si="34"/>
        <v>0</v>
      </c>
      <c r="N142" s="335"/>
      <c r="O142" s="162">
        <f t="shared" si="35"/>
        <v>0</v>
      </c>
      <c r="P142" s="162">
        <f t="shared" si="36"/>
        <v>0</v>
      </c>
    </row>
    <row r="143" spans="2:16">
      <c r="B143" s="9" t="str">
        <f t="shared" si="24"/>
        <v/>
      </c>
      <c r="C143" s="157">
        <f>IF(D93="","-",+C142+1)</f>
        <v>2054</v>
      </c>
      <c r="D143" s="158">
        <f>IF(F142+SUM(E$99:E142)=D$92,F142,D$92-SUM(E$99:E142))</f>
        <v>6572.5</v>
      </c>
      <c r="E143" s="165">
        <f>IF(+J96&lt;F142,J96,D143)</f>
        <v>2099</v>
      </c>
      <c r="F143" s="163">
        <f t="shared" si="29"/>
        <v>4473.5</v>
      </c>
      <c r="G143" s="163">
        <f t="shared" si="30"/>
        <v>5523</v>
      </c>
      <c r="H143" s="167">
        <f t="shared" si="31"/>
        <v>2799.6064762494475</v>
      </c>
      <c r="I143" s="317">
        <f t="shared" si="32"/>
        <v>2799.6064762494475</v>
      </c>
      <c r="J143" s="162">
        <f t="shared" si="33"/>
        <v>0</v>
      </c>
      <c r="K143" s="162"/>
      <c r="L143" s="335"/>
      <c r="M143" s="162">
        <f t="shared" si="34"/>
        <v>0</v>
      </c>
      <c r="N143" s="335"/>
      <c r="O143" s="162">
        <f t="shared" si="35"/>
        <v>0</v>
      </c>
      <c r="P143" s="162">
        <f t="shared" si="36"/>
        <v>0</v>
      </c>
    </row>
    <row r="144" spans="2:16">
      <c r="B144" s="9" t="str">
        <f t="shared" si="24"/>
        <v/>
      </c>
      <c r="C144" s="157">
        <f>IF(D93="","-",+C143+1)</f>
        <v>2055</v>
      </c>
      <c r="D144" s="158">
        <f>IF(F143+SUM(E$99:E143)=D$92,F143,D$92-SUM(E$99:E143))</f>
        <v>4473.5</v>
      </c>
      <c r="E144" s="165">
        <f>IF(+J96&lt;F143,J96,D144)</f>
        <v>2099</v>
      </c>
      <c r="F144" s="163">
        <f t="shared" si="29"/>
        <v>2374.5</v>
      </c>
      <c r="G144" s="163">
        <f t="shared" si="30"/>
        <v>3424</v>
      </c>
      <c r="H144" s="167">
        <f t="shared" si="31"/>
        <v>2533.3430336190672</v>
      </c>
      <c r="I144" s="317">
        <f t="shared" si="32"/>
        <v>2533.3430336190672</v>
      </c>
      <c r="J144" s="162">
        <f t="shared" si="33"/>
        <v>0</v>
      </c>
      <c r="K144" s="162"/>
      <c r="L144" s="335"/>
      <c r="M144" s="162">
        <f t="shared" si="34"/>
        <v>0</v>
      </c>
      <c r="N144" s="335"/>
      <c r="O144" s="162">
        <f t="shared" si="35"/>
        <v>0</v>
      </c>
      <c r="P144" s="162">
        <f t="shared" si="36"/>
        <v>0</v>
      </c>
    </row>
    <row r="145" spans="2:16">
      <c r="B145" s="9" t="str">
        <f t="shared" si="24"/>
        <v/>
      </c>
      <c r="C145" s="157">
        <f>IF(D93="","-",+C144+1)</f>
        <v>2056</v>
      </c>
      <c r="D145" s="158">
        <f>IF(F144+SUM(E$99:E144)=D$92,F144,D$92-SUM(E$99:E144))</f>
        <v>2374.5</v>
      </c>
      <c r="E145" s="165">
        <f>IF(+J96&lt;F144,J96,D145)</f>
        <v>2099</v>
      </c>
      <c r="F145" s="163">
        <f t="shared" si="29"/>
        <v>275.5</v>
      </c>
      <c r="G145" s="163">
        <f t="shared" si="30"/>
        <v>1325</v>
      </c>
      <c r="H145" s="167">
        <f t="shared" si="31"/>
        <v>2267.079590988687</v>
      </c>
      <c r="I145" s="317">
        <f t="shared" si="32"/>
        <v>2267.079590988687</v>
      </c>
      <c r="J145" s="162">
        <f t="shared" si="33"/>
        <v>0</v>
      </c>
      <c r="K145" s="162"/>
      <c r="L145" s="335"/>
      <c r="M145" s="162">
        <f t="shared" si="34"/>
        <v>0</v>
      </c>
      <c r="N145" s="335"/>
      <c r="O145" s="162">
        <f t="shared" si="35"/>
        <v>0</v>
      </c>
      <c r="P145" s="162">
        <f t="shared" si="36"/>
        <v>0</v>
      </c>
    </row>
    <row r="146" spans="2:16">
      <c r="B146" s="9" t="str">
        <f t="shared" si="24"/>
        <v/>
      </c>
      <c r="C146" s="157">
        <f>IF(D93="","-",+C145+1)</f>
        <v>2057</v>
      </c>
      <c r="D146" s="158">
        <f>IF(F145+SUM(E$99:E145)=D$92,F145,D$92-SUM(E$99:E145))</f>
        <v>275.5</v>
      </c>
      <c r="E146" s="165">
        <f>IF(+J96&lt;F145,J96,D146)</f>
        <v>275.5</v>
      </c>
      <c r="F146" s="163">
        <f t="shared" ref="F146:F154" si="37">+D146-E146</f>
        <v>0</v>
      </c>
      <c r="G146" s="163">
        <f t="shared" ref="G146:G154" si="38">+(F146+D146)/2</f>
        <v>137.75</v>
      </c>
      <c r="H146" s="167">
        <f t="shared" si="31"/>
        <v>292.97393483674841</v>
      </c>
      <c r="I146" s="317">
        <f t="shared" si="32"/>
        <v>292.97393483674841</v>
      </c>
      <c r="J146" s="162">
        <f t="shared" si="33"/>
        <v>0</v>
      </c>
      <c r="K146" s="162"/>
      <c r="L146" s="335"/>
      <c r="M146" s="162">
        <f t="shared" si="34"/>
        <v>0</v>
      </c>
      <c r="N146" s="335"/>
      <c r="O146" s="162">
        <f t="shared" si="35"/>
        <v>0</v>
      </c>
      <c r="P146" s="162">
        <f t="shared" si="36"/>
        <v>0</v>
      </c>
    </row>
    <row r="147" spans="2:16">
      <c r="B147" s="9" t="str">
        <f t="shared" si="24"/>
        <v/>
      </c>
      <c r="C147" s="157">
        <f>IF(D93="","-",+C146+1)</f>
        <v>2058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7"/>
        <v>0</v>
      </c>
      <c r="G147" s="163">
        <f t="shared" si="38"/>
        <v>0</v>
      </c>
      <c r="H147" s="167">
        <f t="shared" si="31"/>
        <v>0</v>
      </c>
      <c r="I147" s="317">
        <f t="shared" si="32"/>
        <v>0</v>
      </c>
      <c r="J147" s="162">
        <f t="shared" si="33"/>
        <v>0</v>
      </c>
      <c r="K147" s="162"/>
      <c r="L147" s="335"/>
      <c r="M147" s="162">
        <f t="shared" si="34"/>
        <v>0</v>
      </c>
      <c r="N147" s="335"/>
      <c r="O147" s="162">
        <f t="shared" si="35"/>
        <v>0</v>
      </c>
      <c r="P147" s="162">
        <f t="shared" si="36"/>
        <v>0</v>
      </c>
    </row>
    <row r="148" spans="2:16">
      <c r="B148" s="9" t="str">
        <f t="shared" si="24"/>
        <v/>
      </c>
      <c r="C148" s="157">
        <f>IF(D93="","-",+C147+1)</f>
        <v>2059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7"/>
        <v>0</v>
      </c>
      <c r="G148" s="163">
        <f t="shared" si="38"/>
        <v>0</v>
      </c>
      <c r="H148" s="167">
        <f t="shared" si="31"/>
        <v>0</v>
      </c>
      <c r="I148" s="317">
        <f t="shared" si="32"/>
        <v>0</v>
      </c>
      <c r="J148" s="162">
        <f t="shared" si="33"/>
        <v>0</v>
      </c>
      <c r="K148" s="162"/>
      <c r="L148" s="335"/>
      <c r="M148" s="162">
        <f t="shared" si="34"/>
        <v>0</v>
      </c>
      <c r="N148" s="335"/>
      <c r="O148" s="162">
        <f t="shared" si="35"/>
        <v>0</v>
      </c>
      <c r="P148" s="162">
        <f t="shared" si="36"/>
        <v>0</v>
      </c>
    </row>
    <row r="149" spans="2:16">
      <c r="B149" s="9" t="str">
        <f t="shared" si="24"/>
        <v/>
      </c>
      <c r="C149" s="157">
        <f>IF(D93="","-",+C148+1)</f>
        <v>2060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7"/>
        <v>0</v>
      </c>
      <c r="G149" s="163">
        <f t="shared" si="38"/>
        <v>0</v>
      </c>
      <c r="H149" s="167">
        <f t="shared" si="31"/>
        <v>0</v>
      </c>
      <c r="I149" s="317">
        <f t="shared" si="32"/>
        <v>0</v>
      </c>
      <c r="J149" s="162">
        <f t="shared" si="33"/>
        <v>0</v>
      </c>
      <c r="K149" s="162"/>
      <c r="L149" s="335"/>
      <c r="M149" s="162">
        <f t="shared" si="34"/>
        <v>0</v>
      </c>
      <c r="N149" s="335"/>
      <c r="O149" s="162">
        <f t="shared" si="35"/>
        <v>0</v>
      </c>
      <c r="P149" s="162">
        <f t="shared" si="36"/>
        <v>0</v>
      </c>
    </row>
    <row r="150" spans="2:16">
      <c r="B150" s="9" t="str">
        <f t="shared" si="24"/>
        <v/>
      </c>
      <c r="C150" s="157">
        <f>IF(D93="","-",+C149+1)</f>
        <v>2061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7"/>
        <v>0</v>
      </c>
      <c r="G150" s="163">
        <f t="shared" si="38"/>
        <v>0</v>
      </c>
      <c r="H150" s="167">
        <f t="shared" si="31"/>
        <v>0</v>
      </c>
      <c r="I150" s="317">
        <f t="shared" si="32"/>
        <v>0</v>
      </c>
      <c r="J150" s="162">
        <f t="shared" si="33"/>
        <v>0</v>
      </c>
      <c r="K150" s="162"/>
      <c r="L150" s="335"/>
      <c r="M150" s="162">
        <f t="shared" si="34"/>
        <v>0</v>
      </c>
      <c r="N150" s="335"/>
      <c r="O150" s="162">
        <f t="shared" si="35"/>
        <v>0</v>
      </c>
      <c r="P150" s="162">
        <f t="shared" si="36"/>
        <v>0</v>
      </c>
    </row>
    <row r="151" spans="2:16">
      <c r="B151" s="9" t="str">
        <f t="shared" si="24"/>
        <v/>
      </c>
      <c r="C151" s="157">
        <f>IF(D93="","-",+C150+1)</f>
        <v>2062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7"/>
        <v>0</v>
      </c>
      <c r="G151" s="163">
        <f t="shared" si="38"/>
        <v>0</v>
      </c>
      <c r="H151" s="167">
        <f t="shared" si="31"/>
        <v>0</v>
      </c>
      <c r="I151" s="317">
        <f t="shared" si="32"/>
        <v>0</v>
      </c>
      <c r="J151" s="162">
        <f t="shared" si="33"/>
        <v>0</v>
      </c>
      <c r="K151" s="162"/>
      <c r="L151" s="335"/>
      <c r="M151" s="162">
        <f t="shared" si="34"/>
        <v>0</v>
      </c>
      <c r="N151" s="335"/>
      <c r="O151" s="162">
        <f t="shared" si="35"/>
        <v>0</v>
      </c>
      <c r="P151" s="162">
        <f t="shared" si="36"/>
        <v>0</v>
      </c>
    </row>
    <row r="152" spans="2:16">
      <c r="B152" s="9" t="str">
        <f t="shared" si="24"/>
        <v/>
      </c>
      <c r="C152" s="157">
        <f>IF(D93="","-",+C151+1)</f>
        <v>2063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7"/>
        <v>0</v>
      </c>
      <c r="G152" s="163">
        <f t="shared" si="38"/>
        <v>0</v>
      </c>
      <c r="H152" s="167">
        <f t="shared" si="31"/>
        <v>0</v>
      </c>
      <c r="I152" s="317">
        <f t="shared" si="32"/>
        <v>0</v>
      </c>
      <c r="J152" s="162">
        <f t="shared" si="33"/>
        <v>0</v>
      </c>
      <c r="K152" s="162"/>
      <c r="L152" s="335"/>
      <c r="M152" s="162">
        <f t="shared" si="34"/>
        <v>0</v>
      </c>
      <c r="N152" s="335"/>
      <c r="O152" s="162">
        <f t="shared" si="35"/>
        <v>0</v>
      </c>
      <c r="P152" s="162">
        <f t="shared" si="36"/>
        <v>0</v>
      </c>
    </row>
    <row r="153" spans="2:16">
      <c r="B153" s="9" t="str">
        <f t="shared" si="24"/>
        <v/>
      </c>
      <c r="C153" s="157">
        <f>IF(D93="","-",+C152+1)</f>
        <v>2064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7"/>
        <v>0</v>
      </c>
      <c r="G153" s="163">
        <f t="shared" si="38"/>
        <v>0</v>
      </c>
      <c r="H153" s="167">
        <f t="shared" si="31"/>
        <v>0</v>
      </c>
      <c r="I153" s="317">
        <f t="shared" si="32"/>
        <v>0</v>
      </c>
      <c r="J153" s="162">
        <f t="shared" si="33"/>
        <v>0</v>
      </c>
      <c r="K153" s="162"/>
      <c r="L153" s="335"/>
      <c r="M153" s="162">
        <f t="shared" si="34"/>
        <v>0</v>
      </c>
      <c r="N153" s="335"/>
      <c r="O153" s="162">
        <f t="shared" si="35"/>
        <v>0</v>
      </c>
      <c r="P153" s="162">
        <f t="shared" si="36"/>
        <v>0</v>
      </c>
    </row>
    <row r="154" spans="2:16" ht="13.5" thickBot="1">
      <c r="B154" s="9" t="str">
        <f t="shared" si="24"/>
        <v/>
      </c>
      <c r="C154" s="168">
        <f>IF(D93="","-",+C153+1)</f>
        <v>2065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7"/>
        <v>0</v>
      </c>
      <c r="G154" s="169">
        <f t="shared" si="38"/>
        <v>0</v>
      </c>
      <c r="H154" s="171">
        <f t="shared" si="31"/>
        <v>0</v>
      </c>
      <c r="I154" s="318">
        <f t="shared" si="32"/>
        <v>0</v>
      </c>
      <c r="J154" s="173">
        <f t="shared" si="33"/>
        <v>0</v>
      </c>
      <c r="K154" s="162"/>
      <c r="L154" s="336"/>
      <c r="M154" s="173">
        <f t="shared" si="34"/>
        <v>0</v>
      </c>
      <c r="N154" s="336"/>
      <c r="O154" s="173">
        <f t="shared" si="35"/>
        <v>0</v>
      </c>
      <c r="P154" s="173">
        <f t="shared" si="36"/>
        <v>0</v>
      </c>
    </row>
    <row r="155" spans="2:16">
      <c r="C155" s="158" t="s">
        <v>72</v>
      </c>
      <c r="D155" s="115"/>
      <c r="E155" s="115">
        <f>SUM(E99:E154)</f>
        <v>96566</v>
      </c>
      <c r="F155" s="115"/>
      <c r="G155" s="115"/>
      <c r="H155" s="115">
        <f>SUM(H99:H154)</f>
        <v>393800.44692321058</v>
      </c>
      <c r="I155" s="115">
        <f>SUM(I99:I154)</f>
        <v>393800.44692321058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3" width="17.7109375" customWidth="1"/>
    <col min="14" max="14" width="16.7109375" customWidth="1"/>
    <col min="15" max="15" width="18.4257812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11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6.5" thickBot="1">
      <c r="C4" s="431" t="s">
        <v>253</v>
      </c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165912.69365934882</v>
      </c>
      <c r="P5" s="1"/>
    </row>
    <row r="6" spans="1:16" ht="15.75">
      <c r="C6" s="430" t="s">
        <v>254</v>
      </c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165912.69365934882</v>
      </c>
      <c r="O6" s="1"/>
      <c r="P6" s="1"/>
    </row>
    <row r="7" spans="1:16" ht="13.5" thickBot="1">
      <c r="C7" s="127" t="s">
        <v>41</v>
      </c>
      <c r="D7" s="343" t="s">
        <v>219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5.75" thickBot="1">
      <c r="C8" s="429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218</v>
      </c>
      <c r="E9" s="428" t="s">
        <v>311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1493723*94%</f>
        <v>1404099.6199999999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2011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35102.4905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2011</v>
      </c>
      <c r="D17" s="366">
        <v>1624000</v>
      </c>
      <c r="E17" s="367">
        <v>15921.568627450981</v>
      </c>
      <c r="F17" s="366">
        <v>1608078.4313725489</v>
      </c>
      <c r="G17" s="367">
        <v>267655.54041850357</v>
      </c>
      <c r="H17" s="370">
        <v>267655.54041850357</v>
      </c>
      <c r="I17" s="160">
        <f>H17-G17</f>
        <v>0</v>
      </c>
      <c r="J17" s="160"/>
      <c r="K17" s="337">
        <f t="shared" ref="K17:K22" si="0">G17</f>
        <v>267655.54041850357</v>
      </c>
      <c r="L17" s="176">
        <f t="shared" ref="L17:L48" si="1">IF(K17&lt;&gt;0,+G17-K17,0)</f>
        <v>0</v>
      </c>
      <c r="M17" s="337">
        <f t="shared" ref="M17:M22" si="2">H17</f>
        <v>267655.54041850357</v>
      </c>
      <c r="N17" s="161">
        <f t="shared" ref="N17:N48" si="3">IF(M17&lt;&gt;0,+H17-M17,0)</f>
        <v>0</v>
      </c>
      <c r="O17" s="162">
        <f t="shared" ref="O17:O48" si="4">+N17-L17</f>
        <v>0</v>
      </c>
      <c r="P17" s="4"/>
    </row>
    <row r="18" spans="2:16">
      <c r="B18" s="9" t="str">
        <f t="shared" ref="B18:B49" si="5">IF(D18=F17,"","IU")</f>
        <v>IU</v>
      </c>
      <c r="C18" s="157">
        <f>IF(D11="","-",+C17+1)</f>
        <v>2012</v>
      </c>
      <c r="D18" s="371">
        <v>1420815.4313725489</v>
      </c>
      <c r="E18" s="368">
        <v>27629.557692307691</v>
      </c>
      <c r="F18" s="371">
        <v>1393185.8736802412</v>
      </c>
      <c r="G18" s="368">
        <v>221570.55769230769</v>
      </c>
      <c r="H18" s="370">
        <v>221570.55769230769</v>
      </c>
      <c r="I18" s="160">
        <f t="shared" ref="I18:I48" si="6">H18-G18</f>
        <v>0</v>
      </c>
      <c r="J18" s="160"/>
      <c r="K18" s="338">
        <f t="shared" si="0"/>
        <v>221570.55769230769</v>
      </c>
      <c r="L18" s="272">
        <f t="shared" si="1"/>
        <v>0</v>
      </c>
      <c r="M18" s="338">
        <f t="shared" si="2"/>
        <v>221570.55769230769</v>
      </c>
      <c r="N18" s="162">
        <f t="shared" si="3"/>
        <v>0</v>
      </c>
      <c r="O18" s="162">
        <f t="shared" si="4"/>
        <v>0</v>
      </c>
      <c r="P18" s="4"/>
    </row>
    <row r="19" spans="2:16">
      <c r="B19" s="9" t="str">
        <f t="shared" si="5"/>
        <v>IU</v>
      </c>
      <c r="C19" s="157">
        <f>IF(D11="","-",+C18+1)</f>
        <v>2013</v>
      </c>
      <c r="D19" s="371">
        <v>1450171.8736802414</v>
      </c>
      <c r="E19" s="368">
        <v>28725.442307692309</v>
      </c>
      <c r="F19" s="371">
        <v>1421446.4313725492</v>
      </c>
      <c r="G19" s="368">
        <v>231717.44230769231</v>
      </c>
      <c r="H19" s="370">
        <v>231717.44230769231</v>
      </c>
      <c r="I19" s="160">
        <v>0</v>
      </c>
      <c r="J19" s="160"/>
      <c r="K19" s="338">
        <f t="shared" si="0"/>
        <v>231717.44230769231</v>
      </c>
      <c r="L19" s="272">
        <f t="shared" ref="L19:L24" si="7">IF(K19&lt;&gt;0,+G19-K19,0)</f>
        <v>0</v>
      </c>
      <c r="M19" s="338">
        <f t="shared" si="2"/>
        <v>231717.44230769231</v>
      </c>
      <c r="N19" s="162">
        <f t="shared" ref="N19:N24" si="8">IF(M19&lt;&gt;0,+H19-M19,0)</f>
        <v>0</v>
      </c>
      <c r="O19" s="162">
        <f t="shared" ref="O19:O24" si="9">+N19-L19</f>
        <v>0</v>
      </c>
      <c r="P19" s="4"/>
    </row>
    <row r="20" spans="2:16">
      <c r="B20" s="9" t="str">
        <f t="shared" si="5"/>
        <v>IU</v>
      </c>
      <c r="C20" s="157">
        <f>IF(D11="","-",+C19+1)</f>
        <v>2014</v>
      </c>
      <c r="D20" s="371">
        <v>1331823.0513725488</v>
      </c>
      <c r="E20" s="368">
        <v>27001.915769230767</v>
      </c>
      <c r="F20" s="371">
        <v>1304821.135603318</v>
      </c>
      <c r="G20" s="368">
        <v>206621.91576923078</v>
      </c>
      <c r="H20" s="370">
        <v>206621.91576923078</v>
      </c>
      <c r="I20" s="160">
        <v>0</v>
      </c>
      <c r="J20" s="160"/>
      <c r="K20" s="338">
        <f t="shared" si="0"/>
        <v>206621.91576923078</v>
      </c>
      <c r="L20" s="272">
        <f t="shared" si="7"/>
        <v>0</v>
      </c>
      <c r="M20" s="338">
        <f t="shared" si="2"/>
        <v>206621.91576923078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5"/>
        <v/>
      </c>
      <c r="C21" s="157">
        <f>IF(D11="","-",+C20+1)</f>
        <v>2015</v>
      </c>
      <c r="D21" s="371">
        <v>1304821.135603318</v>
      </c>
      <c r="E21" s="368">
        <v>27001.915769230767</v>
      </c>
      <c r="F21" s="371">
        <v>1277819.2198340872</v>
      </c>
      <c r="G21" s="368">
        <v>203176.91576923078</v>
      </c>
      <c r="H21" s="370">
        <v>203176.91576923078</v>
      </c>
      <c r="I21" s="160">
        <v>0</v>
      </c>
      <c r="J21" s="160"/>
      <c r="K21" s="338">
        <f t="shared" si="0"/>
        <v>203176.91576923078</v>
      </c>
      <c r="L21" s="272">
        <f t="shared" si="7"/>
        <v>0</v>
      </c>
      <c r="M21" s="338">
        <f t="shared" si="2"/>
        <v>203176.91576923078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5"/>
        <v/>
      </c>
      <c r="C22" s="157">
        <f>IF(D11="","-",+C21+1)</f>
        <v>2016</v>
      </c>
      <c r="D22" s="371">
        <v>1277819.2198340872</v>
      </c>
      <c r="E22" s="368">
        <v>27001.915769230767</v>
      </c>
      <c r="F22" s="371">
        <v>1250817.3040648564</v>
      </c>
      <c r="G22" s="368">
        <v>191058.91576923078</v>
      </c>
      <c r="H22" s="370">
        <v>191058.91576923078</v>
      </c>
      <c r="I22" s="160">
        <f t="shared" si="6"/>
        <v>0</v>
      </c>
      <c r="J22" s="160"/>
      <c r="K22" s="338">
        <f t="shared" si="0"/>
        <v>191058.91576923078</v>
      </c>
      <c r="L22" s="272">
        <f t="shared" si="7"/>
        <v>0</v>
      </c>
      <c r="M22" s="338">
        <f t="shared" si="2"/>
        <v>191058.91576923078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5"/>
        <v/>
      </c>
      <c r="C23" s="157">
        <f>IF(D11="","-",+C22+1)</f>
        <v>2017</v>
      </c>
      <c r="D23" s="371">
        <v>1250817.3040648564</v>
      </c>
      <c r="E23" s="368">
        <v>30523.904782608693</v>
      </c>
      <c r="F23" s="371">
        <v>1220293.3992822478</v>
      </c>
      <c r="G23" s="368">
        <v>185818.9047826087</v>
      </c>
      <c r="H23" s="370">
        <v>185818.9047826087</v>
      </c>
      <c r="I23" s="160">
        <v>0</v>
      </c>
      <c r="J23" s="160"/>
      <c r="K23" s="338">
        <f>G23</f>
        <v>185818.9047826087</v>
      </c>
      <c r="L23" s="272">
        <f t="shared" si="7"/>
        <v>0</v>
      </c>
      <c r="M23" s="338">
        <f>H23</f>
        <v>185818.9047826087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5"/>
        <v/>
      </c>
      <c r="C24" s="157">
        <f>IF(D11="","-",+C23+1)</f>
        <v>2018</v>
      </c>
      <c r="D24" s="371">
        <v>1220293.3992822478</v>
      </c>
      <c r="E24" s="368">
        <v>31202.213777777775</v>
      </c>
      <c r="F24" s="371">
        <v>1189091.18550447</v>
      </c>
      <c r="G24" s="368">
        <v>175474.88659362236</v>
      </c>
      <c r="H24" s="370">
        <v>175474.88659362236</v>
      </c>
      <c r="I24" s="160">
        <f t="shared" si="6"/>
        <v>0</v>
      </c>
      <c r="J24" s="160"/>
      <c r="K24" s="338">
        <f>G24</f>
        <v>175474.88659362236</v>
      </c>
      <c r="L24" s="272">
        <f t="shared" si="7"/>
        <v>0</v>
      </c>
      <c r="M24" s="338">
        <f>H24</f>
        <v>175474.88659362236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5"/>
        <v/>
      </c>
      <c r="C25" s="157">
        <f>IF(D11="","-",+C24+1)</f>
        <v>2019</v>
      </c>
      <c r="D25" s="163">
        <f>IF(F24+SUM(E$17:E24)=D$10,F24,D$10-SUM(E$17:E24))</f>
        <v>1189091.18550447</v>
      </c>
      <c r="E25" s="164">
        <f>IF(+I14&lt;F24,I14,D25)</f>
        <v>35102.4905</v>
      </c>
      <c r="F25" s="163">
        <f t="shared" ref="F25:F49" si="10">+D25-E25</f>
        <v>1153988.6950044699</v>
      </c>
      <c r="G25" s="165">
        <f t="shared" ref="G25:G72" si="11">(D25+F25)/2*I$12+E25</f>
        <v>165912.69365934882</v>
      </c>
      <c r="H25" s="147">
        <f t="shared" ref="H25:H72" si="12">+(D25+F25)/2*I$13+E25</f>
        <v>165912.69365934882</v>
      </c>
      <c r="I25" s="160">
        <f t="shared" si="6"/>
        <v>0</v>
      </c>
      <c r="J25" s="160"/>
      <c r="K25" s="335"/>
      <c r="L25" s="162">
        <f t="shared" si="1"/>
        <v>0</v>
      </c>
      <c r="M25" s="335"/>
      <c r="N25" s="162">
        <f t="shared" si="3"/>
        <v>0</v>
      </c>
      <c r="O25" s="162">
        <f t="shared" si="4"/>
        <v>0</v>
      </c>
      <c r="P25" s="4"/>
    </row>
    <row r="26" spans="2:16">
      <c r="B26" s="9" t="str">
        <f t="shared" si="5"/>
        <v/>
      </c>
      <c r="C26" s="157">
        <f>IF(D11="","-",+C25+1)</f>
        <v>2020</v>
      </c>
      <c r="D26" s="163">
        <f>IF(F25+SUM(E$17:E25)=D$10,F25,D$10-SUM(E$17:E25))</f>
        <v>1153988.6950044699</v>
      </c>
      <c r="E26" s="164">
        <f>IF(+I14&lt;F25,I14,D26)</f>
        <v>35102.4905</v>
      </c>
      <c r="F26" s="163">
        <f t="shared" si="10"/>
        <v>1118886.2045044699</v>
      </c>
      <c r="G26" s="165">
        <f t="shared" si="11"/>
        <v>161993.26781996453</v>
      </c>
      <c r="H26" s="147">
        <f t="shared" si="12"/>
        <v>161993.26781996453</v>
      </c>
      <c r="I26" s="160">
        <f t="shared" si="6"/>
        <v>0</v>
      </c>
      <c r="J26" s="160"/>
      <c r="K26" s="335"/>
      <c r="L26" s="162">
        <f t="shared" si="1"/>
        <v>0</v>
      </c>
      <c r="M26" s="335"/>
      <c r="N26" s="162">
        <f t="shared" si="3"/>
        <v>0</v>
      </c>
      <c r="O26" s="162">
        <f t="shared" si="4"/>
        <v>0</v>
      </c>
      <c r="P26" s="4"/>
    </row>
    <row r="27" spans="2:16">
      <c r="B27" s="9" t="str">
        <f t="shared" si="5"/>
        <v/>
      </c>
      <c r="C27" s="157">
        <f>IF(D11="","-",+C26+1)</f>
        <v>2021</v>
      </c>
      <c r="D27" s="166">
        <f>IF(F26+SUM(E$17:E26)=D$10,F26,D$10-SUM(E$17:E26))</f>
        <v>1118886.2045044699</v>
      </c>
      <c r="E27" s="164">
        <f>IF(+I14&lt;F26,I14,D27)</f>
        <v>35102.4905</v>
      </c>
      <c r="F27" s="163">
        <f t="shared" si="10"/>
        <v>1083783.7140044698</v>
      </c>
      <c r="G27" s="165">
        <f t="shared" si="11"/>
        <v>158073.84198058018</v>
      </c>
      <c r="H27" s="147">
        <f t="shared" si="12"/>
        <v>158073.84198058018</v>
      </c>
      <c r="I27" s="160">
        <f t="shared" si="6"/>
        <v>0</v>
      </c>
      <c r="J27" s="160"/>
      <c r="K27" s="335"/>
      <c r="L27" s="162">
        <f t="shared" si="1"/>
        <v>0</v>
      </c>
      <c r="M27" s="335"/>
      <c r="N27" s="162">
        <f t="shared" si="3"/>
        <v>0</v>
      </c>
      <c r="O27" s="162">
        <f t="shared" si="4"/>
        <v>0</v>
      </c>
      <c r="P27" s="4"/>
    </row>
    <row r="28" spans="2:16">
      <c r="B28" s="9" t="str">
        <f t="shared" si="5"/>
        <v/>
      </c>
      <c r="C28" s="157">
        <f>IF(D11="","-",+C27+1)</f>
        <v>2022</v>
      </c>
      <c r="D28" s="163">
        <f>IF(F27+SUM(E$17:E27)=D$10,F27,D$10-SUM(E$17:E27))</f>
        <v>1083783.7140044698</v>
      </c>
      <c r="E28" s="164">
        <f>IF(+I14&lt;F27,I14,D28)</f>
        <v>35102.4905</v>
      </c>
      <c r="F28" s="163">
        <f t="shared" si="10"/>
        <v>1048681.2235044697</v>
      </c>
      <c r="G28" s="165">
        <f t="shared" si="11"/>
        <v>154154.41614119592</v>
      </c>
      <c r="H28" s="147">
        <f t="shared" si="12"/>
        <v>154154.41614119592</v>
      </c>
      <c r="I28" s="160">
        <f t="shared" si="6"/>
        <v>0</v>
      </c>
      <c r="J28" s="160"/>
      <c r="K28" s="335"/>
      <c r="L28" s="162">
        <f t="shared" si="1"/>
        <v>0</v>
      </c>
      <c r="M28" s="335"/>
      <c r="N28" s="162">
        <f t="shared" si="3"/>
        <v>0</v>
      </c>
      <c r="O28" s="162">
        <f t="shared" si="4"/>
        <v>0</v>
      </c>
      <c r="P28" s="4"/>
    </row>
    <row r="29" spans="2:16">
      <c r="B29" s="9" t="str">
        <f t="shared" si="5"/>
        <v/>
      </c>
      <c r="C29" s="157">
        <f>IF(D11="","-",+C28+1)</f>
        <v>2023</v>
      </c>
      <c r="D29" s="163">
        <f>IF(F28+SUM(E$17:E28)=D$10,F28,D$10-SUM(E$17:E28))</f>
        <v>1048681.2235044697</v>
      </c>
      <c r="E29" s="164">
        <f>IF(+I14&lt;F28,I14,D29)</f>
        <v>35102.4905</v>
      </c>
      <c r="F29" s="163">
        <f t="shared" si="10"/>
        <v>1013578.7330044698</v>
      </c>
      <c r="G29" s="165">
        <f t="shared" si="11"/>
        <v>150234.9903018116</v>
      </c>
      <c r="H29" s="147">
        <f t="shared" si="12"/>
        <v>150234.9903018116</v>
      </c>
      <c r="I29" s="160">
        <f t="shared" si="6"/>
        <v>0</v>
      </c>
      <c r="J29" s="160"/>
      <c r="K29" s="335"/>
      <c r="L29" s="162">
        <f t="shared" si="1"/>
        <v>0</v>
      </c>
      <c r="M29" s="335"/>
      <c r="N29" s="162">
        <f t="shared" si="3"/>
        <v>0</v>
      </c>
      <c r="O29" s="162">
        <f t="shared" si="4"/>
        <v>0</v>
      </c>
      <c r="P29" s="4"/>
    </row>
    <row r="30" spans="2:16">
      <c r="B30" s="9" t="str">
        <f t="shared" si="5"/>
        <v/>
      </c>
      <c r="C30" s="157">
        <f>IF(D11="","-",+C29+1)</f>
        <v>2024</v>
      </c>
      <c r="D30" s="163">
        <f>IF(F29+SUM(E$17:E29)=D$10,F29,D$10-SUM(E$17:E29))</f>
        <v>1013578.7330044698</v>
      </c>
      <c r="E30" s="164">
        <f>IF(+I14&lt;F29,I14,D30)</f>
        <v>35102.4905</v>
      </c>
      <c r="F30" s="163">
        <f t="shared" si="10"/>
        <v>978476.24250446982</v>
      </c>
      <c r="G30" s="165">
        <f t="shared" si="11"/>
        <v>146315.56446242728</v>
      </c>
      <c r="H30" s="147">
        <f t="shared" si="12"/>
        <v>146315.56446242728</v>
      </c>
      <c r="I30" s="160">
        <f t="shared" si="6"/>
        <v>0</v>
      </c>
      <c r="J30" s="160"/>
      <c r="K30" s="335"/>
      <c r="L30" s="162">
        <f t="shared" si="1"/>
        <v>0</v>
      </c>
      <c r="M30" s="335"/>
      <c r="N30" s="162">
        <f t="shared" si="3"/>
        <v>0</v>
      </c>
      <c r="O30" s="162">
        <f t="shared" si="4"/>
        <v>0</v>
      </c>
      <c r="P30" s="4"/>
    </row>
    <row r="31" spans="2:16">
      <c r="B31" s="9" t="str">
        <f t="shared" si="5"/>
        <v/>
      </c>
      <c r="C31" s="157">
        <f>IF(D11="","-",+C30+1)</f>
        <v>2025</v>
      </c>
      <c r="D31" s="163">
        <f>IF(F30+SUM(E$17:E30)=D$10,F30,D$10-SUM(E$17:E30))</f>
        <v>978476.24250446982</v>
      </c>
      <c r="E31" s="164">
        <f>IF(+I14&lt;F30,I14,D31)</f>
        <v>35102.4905</v>
      </c>
      <c r="F31" s="163">
        <f t="shared" si="10"/>
        <v>943373.75200446986</v>
      </c>
      <c r="G31" s="165">
        <f t="shared" si="11"/>
        <v>142396.13862304299</v>
      </c>
      <c r="H31" s="147">
        <f t="shared" si="12"/>
        <v>142396.13862304299</v>
      </c>
      <c r="I31" s="160">
        <f t="shared" si="6"/>
        <v>0</v>
      </c>
      <c r="J31" s="160"/>
      <c r="K31" s="335"/>
      <c r="L31" s="162">
        <f t="shared" si="1"/>
        <v>0</v>
      </c>
      <c r="M31" s="335"/>
      <c r="N31" s="162">
        <f t="shared" si="3"/>
        <v>0</v>
      </c>
      <c r="O31" s="162">
        <f t="shared" si="4"/>
        <v>0</v>
      </c>
      <c r="P31" s="4"/>
    </row>
    <row r="32" spans="2:16">
      <c r="B32" s="9" t="str">
        <f t="shared" si="5"/>
        <v/>
      </c>
      <c r="C32" s="157">
        <f>IF(D11="","-",+C31+1)</f>
        <v>2026</v>
      </c>
      <c r="D32" s="163">
        <f>IF(F31+SUM(E$17:E31)=D$10,F31,D$10-SUM(E$17:E31))</f>
        <v>943373.75200446986</v>
      </c>
      <c r="E32" s="164">
        <f>IF(+I14&lt;F31,I14,D32)</f>
        <v>35102.4905</v>
      </c>
      <c r="F32" s="163">
        <f t="shared" si="10"/>
        <v>908271.26150446991</v>
      </c>
      <c r="G32" s="165">
        <f t="shared" si="11"/>
        <v>138476.7127836587</v>
      </c>
      <c r="H32" s="147">
        <f t="shared" si="12"/>
        <v>138476.7127836587</v>
      </c>
      <c r="I32" s="160">
        <f t="shared" si="6"/>
        <v>0</v>
      </c>
      <c r="J32" s="160"/>
      <c r="K32" s="335"/>
      <c r="L32" s="162">
        <f t="shared" si="1"/>
        <v>0</v>
      </c>
      <c r="M32" s="335"/>
      <c r="N32" s="162">
        <f t="shared" si="3"/>
        <v>0</v>
      </c>
      <c r="O32" s="162">
        <f t="shared" si="4"/>
        <v>0</v>
      </c>
      <c r="P32" s="4"/>
    </row>
    <row r="33" spans="2:16">
      <c r="B33" s="9" t="str">
        <f t="shared" si="5"/>
        <v/>
      </c>
      <c r="C33" s="157">
        <f>IF(D11="","-",+C32+1)</f>
        <v>2027</v>
      </c>
      <c r="D33" s="163">
        <f>IF(F32+SUM(E$17:E32)=D$10,F32,D$10-SUM(E$17:E32))</f>
        <v>908271.26150446991</v>
      </c>
      <c r="E33" s="164">
        <f>IF(+I14&lt;F32,I14,D33)</f>
        <v>35102.4905</v>
      </c>
      <c r="F33" s="163">
        <f t="shared" si="10"/>
        <v>873168.77100446995</v>
      </c>
      <c r="G33" s="165">
        <f t="shared" si="11"/>
        <v>134557.28694427438</v>
      </c>
      <c r="H33" s="147">
        <f t="shared" si="12"/>
        <v>134557.28694427438</v>
      </c>
      <c r="I33" s="160">
        <f t="shared" si="6"/>
        <v>0</v>
      </c>
      <c r="J33" s="160"/>
      <c r="K33" s="335"/>
      <c r="L33" s="162">
        <f t="shared" si="1"/>
        <v>0</v>
      </c>
      <c r="M33" s="335"/>
      <c r="N33" s="162">
        <f t="shared" si="3"/>
        <v>0</v>
      </c>
      <c r="O33" s="162">
        <f t="shared" si="4"/>
        <v>0</v>
      </c>
      <c r="P33" s="4"/>
    </row>
    <row r="34" spans="2:16">
      <c r="B34" s="9" t="str">
        <f t="shared" si="5"/>
        <v/>
      </c>
      <c r="C34" s="157">
        <f>IF(D11="","-",+C33+1)</f>
        <v>2028</v>
      </c>
      <c r="D34" s="163">
        <f>IF(F33+SUM(E$17:E33)=D$10,F33,D$10-SUM(E$17:E33))</f>
        <v>873168.77100446995</v>
      </c>
      <c r="E34" s="164">
        <f>IF(+I14&lt;F33,I14,D34)</f>
        <v>35102.4905</v>
      </c>
      <c r="F34" s="163">
        <f t="shared" si="10"/>
        <v>838066.28050446999</v>
      </c>
      <c r="G34" s="165">
        <f t="shared" si="11"/>
        <v>130637.86110489009</v>
      </c>
      <c r="H34" s="147">
        <f t="shared" si="12"/>
        <v>130637.86110489009</v>
      </c>
      <c r="I34" s="160">
        <f t="shared" si="6"/>
        <v>0</v>
      </c>
      <c r="J34" s="160"/>
      <c r="K34" s="335"/>
      <c r="L34" s="162">
        <f t="shared" si="1"/>
        <v>0</v>
      </c>
      <c r="M34" s="335"/>
      <c r="N34" s="162">
        <f t="shared" si="3"/>
        <v>0</v>
      </c>
      <c r="O34" s="162">
        <f t="shared" si="4"/>
        <v>0</v>
      </c>
      <c r="P34" s="4"/>
    </row>
    <row r="35" spans="2:16">
      <c r="B35" s="9" t="str">
        <f t="shared" si="5"/>
        <v/>
      </c>
      <c r="C35" s="157">
        <f>IF(D11="","-",+C34+1)</f>
        <v>2029</v>
      </c>
      <c r="D35" s="163">
        <f>IF(F34+SUM(E$17:E34)=D$10,F34,D$10-SUM(E$17:E34))</f>
        <v>838066.28050446999</v>
      </c>
      <c r="E35" s="164">
        <f>IF(+I14&lt;F34,I14,D35)</f>
        <v>35102.4905</v>
      </c>
      <c r="F35" s="163">
        <f t="shared" si="10"/>
        <v>802963.79000447004</v>
      </c>
      <c r="G35" s="165">
        <f t="shared" si="11"/>
        <v>126718.4352655058</v>
      </c>
      <c r="H35" s="147">
        <f t="shared" si="12"/>
        <v>126718.4352655058</v>
      </c>
      <c r="I35" s="160">
        <f t="shared" si="6"/>
        <v>0</v>
      </c>
      <c r="J35" s="160"/>
      <c r="K35" s="335"/>
      <c r="L35" s="162">
        <f t="shared" si="1"/>
        <v>0</v>
      </c>
      <c r="M35" s="335"/>
      <c r="N35" s="162">
        <f t="shared" si="3"/>
        <v>0</v>
      </c>
      <c r="O35" s="162">
        <f t="shared" si="4"/>
        <v>0</v>
      </c>
      <c r="P35" s="4"/>
    </row>
    <row r="36" spans="2:16">
      <c r="B36" s="9" t="str">
        <f t="shared" si="5"/>
        <v/>
      </c>
      <c r="C36" s="157">
        <f>IF(D11="","-",+C35+1)</f>
        <v>2030</v>
      </c>
      <c r="D36" s="163">
        <f>IF(F35+SUM(E$17:E35)=D$10,F35,D$10-SUM(E$17:E35))</f>
        <v>802963.79000447004</v>
      </c>
      <c r="E36" s="164">
        <f>IF(+I14&lt;F35,I14,D36)</f>
        <v>35102.4905</v>
      </c>
      <c r="F36" s="163">
        <f t="shared" si="10"/>
        <v>767861.29950447008</v>
      </c>
      <c r="G36" s="165">
        <f t="shared" si="11"/>
        <v>122799.0094261215</v>
      </c>
      <c r="H36" s="147">
        <f t="shared" si="12"/>
        <v>122799.0094261215</v>
      </c>
      <c r="I36" s="160">
        <f t="shared" si="6"/>
        <v>0</v>
      </c>
      <c r="J36" s="160"/>
      <c r="K36" s="335"/>
      <c r="L36" s="162">
        <f t="shared" si="1"/>
        <v>0</v>
      </c>
      <c r="M36" s="335"/>
      <c r="N36" s="162">
        <f t="shared" si="3"/>
        <v>0</v>
      </c>
      <c r="O36" s="162">
        <f t="shared" si="4"/>
        <v>0</v>
      </c>
      <c r="P36" s="4"/>
    </row>
    <row r="37" spans="2:16">
      <c r="B37" s="9" t="str">
        <f t="shared" si="5"/>
        <v/>
      </c>
      <c r="C37" s="157">
        <f>IF(D11="","-",+C36+1)</f>
        <v>2031</v>
      </c>
      <c r="D37" s="163">
        <f>IF(F36+SUM(E$17:E36)=D$10,F36,D$10-SUM(E$17:E36))</f>
        <v>767861.29950447008</v>
      </c>
      <c r="E37" s="164">
        <f>IF(+I14&lt;F36,I14,D37)</f>
        <v>35102.4905</v>
      </c>
      <c r="F37" s="163">
        <f t="shared" si="10"/>
        <v>732758.80900447012</v>
      </c>
      <c r="G37" s="165">
        <f t="shared" si="11"/>
        <v>118879.58358673721</v>
      </c>
      <c r="H37" s="147">
        <f t="shared" si="12"/>
        <v>118879.58358673721</v>
      </c>
      <c r="I37" s="160">
        <f t="shared" si="6"/>
        <v>0</v>
      </c>
      <c r="J37" s="160"/>
      <c r="K37" s="335"/>
      <c r="L37" s="162">
        <f t="shared" si="1"/>
        <v>0</v>
      </c>
      <c r="M37" s="335"/>
      <c r="N37" s="162">
        <f t="shared" si="3"/>
        <v>0</v>
      </c>
      <c r="O37" s="162">
        <f t="shared" si="4"/>
        <v>0</v>
      </c>
      <c r="P37" s="4"/>
    </row>
    <row r="38" spans="2:16">
      <c r="B38" s="9" t="str">
        <f t="shared" si="5"/>
        <v/>
      </c>
      <c r="C38" s="157">
        <f>IF(D11="","-",+C37+1)</f>
        <v>2032</v>
      </c>
      <c r="D38" s="163">
        <f>IF(F37+SUM(E$17:E37)=D$10,F37,D$10-SUM(E$17:E37))</f>
        <v>732758.80900447012</v>
      </c>
      <c r="E38" s="164">
        <f>IF(+I14&lt;F37,I14,D38)</f>
        <v>35102.4905</v>
      </c>
      <c r="F38" s="163">
        <f t="shared" si="10"/>
        <v>697656.31850447017</v>
      </c>
      <c r="G38" s="165">
        <f t="shared" si="11"/>
        <v>114960.1577473529</v>
      </c>
      <c r="H38" s="147">
        <f t="shared" si="12"/>
        <v>114960.1577473529</v>
      </c>
      <c r="I38" s="160">
        <f t="shared" si="6"/>
        <v>0</v>
      </c>
      <c r="J38" s="160"/>
      <c r="K38" s="335"/>
      <c r="L38" s="162">
        <f t="shared" si="1"/>
        <v>0</v>
      </c>
      <c r="M38" s="335"/>
      <c r="N38" s="162">
        <f t="shared" si="3"/>
        <v>0</v>
      </c>
      <c r="O38" s="162">
        <f t="shared" si="4"/>
        <v>0</v>
      </c>
      <c r="P38" s="4"/>
    </row>
    <row r="39" spans="2:16">
      <c r="B39" s="9" t="str">
        <f t="shared" si="5"/>
        <v/>
      </c>
      <c r="C39" s="157">
        <f>IF(D11="","-",+C38+1)</f>
        <v>2033</v>
      </c>
      <c r="D39" s="163">
        <f>IF(F38+SUM(E$17:E38)=D$10,F38,D$10-SUM(E$17:E38))</f>
        <v>697656.31850447017</v>
      </c>
      <c r="E39" s="164">
        <f>IF(+I14&lt;F38,I14,D39)</f>
        <v>35102.4905</v>
      </c>
      <c r="F39" s="163">
        <f t="shared" si="10"/>
        <v>662553.82800447021</v>
      </c>
      <c r="G39" s="165">
        <f t="shared" si="11"/>
        <v>111040.73190796861</v>
      </c>
      <c r="H39" s="147">
        <f t="shared" si="12"/>
        <v>111040.73190796861</v>
      </c>
      <c r="I39" s="160">
        <f t="shared" si="6"/>
        <v>0</v>
      </c>
      <c r="J39" s="160"/>
      <c r="K39" s="335"/>
      <c r="L39" s="162">
        <f t="shared" si="1"/>
        <v>0</v>
      </c>
      <c r="M39" s="335"/>
      <c r="N39" s="162">
        <f t="shared" si="3"/>
        <v>0</v>
      </c>
      <c r="O39" s="162">
        <f t="shared" si="4"/>
        <v>0</v>
      </c>
      <c r="P39" s="4"/>
    </row>
    <row r="40" spans="2:16">
      <c r="B40" s="9" t="str">
        <f t="shared" si="5"/>
        <v/>
      </c>
      <c r="C40" s="157">
        <f>IF(D11="","-",+C39+1)</f>
        <v>2034</v>
      </c>
      <c r="D40" s="163">
        <f>IF(F39+SUM(E$17:E39)=D$10,F39,D$10-SUM(E$17:E39))</f>
        <v>662553.82800447021</v>
      </c>
      <c r="E40" s="164">
        <f>IF(+I14&lt;F39,I14,D40)</f>
        <v>35102.4905</v>
      </c>
      <c r="F40" s="163">
        <f t="shared" si="10"/>
        <v>627451.33750447026</v>
      </c>
      <c r="G40" s="165">
        <f t="shared" si="11"/>
        <v>107121.30606858431</v>
      </c>
      <c r="H40" s="147">
        <f t="shared" si="12"/>
        <v>107121.30606858431</v>
      </c>
      <c r="I40" s="160">
        <f t="shared" si="6"/>
        <v>0</v>
      </c>
      <c r="J40" s="160"/>
      <c r="K40" s="335"/>
      <c r="L40" s="162">
        <f t="shared" si="1"/>
        <v>0</v>
      </c>
      <c r="M40" s="335"/>
      <c r="N40" s="162">
        <f t="shared" si="3"/>
        <v>0</v>
      </c>
      <c r="O40" s="162">
        <f t="shared" si="4"/>
        <v>0</v>
      </c>
      <c r="P40" s="4"/>
    </row>
    <row r="41" spans="2:16">
      <c r="B41" s="9" t="str">
        <f t="shared" si="5"/>
        <v/>
      </c>
      <c r="C41" s="157">
        <f>IF(D11="","-",+C40+1)</f>
        <v>2035</v>
      </c>
      <c r="D41" s="163">
        <f>IF(F40+SUM(E$17:E40)=D$10,F40,D$10-SUM(E$17:E40))</f>
        <v>627451.33750447026</v>
      </c>
      <c r="E41" s="164">
        <f>IF(+I14&lt;F40,I14,D41)</f>
        <v>35102.4905</v>
      </c>
      <c r="F41" s="163">
        <f t="shared" si="10"/>
        <v>592348.8470044703</v>
      </c>
      <c r="G41" s="165">
        <f t="shared" si="11"/>
        <v>103201.88022920002</v>
      </c>
      <c r="H41" s="147">
        <f t="shared" si="12"/>
        <v>103201.88022920002</v>
      </c>
      <c r="I41" s="160">
        <f t="shared" si="6"/>
        <v>0</v>
      </c>
      <c r="J41" s="160"/>
      <c r="K41" s="335"/>
      <c r="L41" s="162">
        <f t="shared" si="1"/>
        <v>0</v>
      </c>
      <c r="M41" s="335"/>
      <c r="N41" s="162">
        <f t="shared" si="3"/>
        <v>0</v>
      </c>
      <c r="O41" s="162">
        <f t="shared" si="4"/>
        <v>0</v>
      </c>
      <c r="P41" s="4"/>
    </row>
    <row r="42" spans="2:16">
      <c r="B42" s="9" t="str">
        <f t="shared" si="5"/>
        <v/>
      </c>
      <c r="C42" s="157">
        <f>IF(D11="","-",+C41+1)</f>
        <v>2036</v>
      </c>
      <c r="D42" s="163">
        <f>IF(F41+SUM(E$17:E41)=D$10,F41,D$10-SUM(E$17:E41))</f>
        <v>592348.8470044703</v>
      </c>
      <c r="E42" s="164">
        <f>IF(+I14&lt;F41,I14,D42)</f>
        <v>35102.4905</v>
      </c>
      <c r="F42" s="163">
        <f t="shared" si="10"/>
        <v>557246.35650447034</v>
      </c>
      <c r="G42" s="165">
        <f t="shared" si="11"/>
        <v>99282.454389815714</v>
      </c>
      <c r="H42" s="147">
        <f t="shared" si="12"/>
        <v>99282.454389815714</v>
      </c>
      <c r="I42" s="160">
        <f t="shared" si="6"/>
        <v>0</v>
      </c>
      <c r="J42" s="160"/>
      <c r="K42" s="335"/>
      <c r="L42" s="162">
        <f t="shared" si="1"/>
        <v>0</v>
      </c>
      <c r="M42" s="335"/>
      <c r="N42" s="162">
        <f t="shared" si="3"/>
        <v>0</v>
      </c>
      <c r="O42" s="162">
        <f t="shared" si="4"/>
        <v>0</v>
      </c>
      <c r="P42" s="4"/>
    </row>
    <row r="43" spans="2:16">
      <c r="B43" s="9" t="str">
        <f t="shared" si="5"/>
        <v/>
      </c>
      <c r="C43" s="157">
        <f>IF(D11="","-",+C42+1)</f>
        <v>2037</v>
      </c>
      <c r="D43" s="163">
        <f>IF(F42+SUM(E$17:E42)=D$10,F42,D$10-SUM(E$17:E42))</f>
        <v>557246.35650447034</v>
      </c>
      <c r="E43" s="164">
        <f>IF(+I14&lt;F42,I14,D43)</f>
        <v>35102.4905</v>
      </c>
      <c r="F43" s="163">
        <f t="shared" si="10"/>
        <v>522143.86600447033</v>
      </c>
      <c r="G43" s="165">
        <f t="shared" si="11"/>
        <v>95363.028550431409</v>
      </c>
      <c r="H43" s="147">
        <f t="shared" si="12"/>
        <v>95363.028550431409</v>
      </c>
      <c r="I43" s="160">
        <f t="shared" si="6"/>
        <v>0</v>
      </c>
      <c r="J43" s="160"/>
      <c r="K43" s="335"/>
      <c r="L43" s="162">
        <f t="shared" si="1"/>
        <v>0</v>
      </c>
      <c r="M43" s="335"/>
      <c r="N43" s="162">
        <f t="shared" si="3"/>
        <v>0</v>
      </c>
      <c r="O43" s="162">
        <f t="shared" si="4"/>
        <v>0</v>
      </c>
      <c r="P43" s="4"/>
    </row>
    <row r="44" spans="2:16">
      <c r="B44" s="9" t="str">
        <f t="shared" si="5"/>
        <v/>
      </c>
      <c r="C44" s="157">
        <f>IF(D11="","-",+C43+1)</f>
        <v>2038</v>
      </c>
      <c r="D44" s="163">
        <f>IF(F43+SUM(E$17:E43)=D$10,F43,D$10-SUM(E$17:E43))</f>
        <v>522143.86600447033</v>
      </c>
      <c r="E44" s="164">
        <f>IF(+I14&lt;F43,I14,D44)</f>
        <v>35102.4905</v>
      </c>
      <c r="F44" s="163">
        <f t="shared" si="10"/>
        <v>487041.37550447031</v>
      </c>
      <c r="G44" s="165">
        <f t="shared" si="11"/>
        <v>91443.602711047104</v>
      </c>
      <c r="H44" s="147">
        <f t="shared" si="12"/>
        <v>91443.602711047104</v>
      </c>
      <c r="I44" s="160">
        <f t="shared" si="6"/>
        <v>0</v>
      </c>
      <c r="J44" s="160"/>
      <c r="K44" s="335"/>
      <c r="L44" s="162">
        <f t="shared" si="1"/>
        <v>0</v>
      </c>
      <c r="M44" s="335"/>
      <c r="N44" s="162">
        <f t="shared" si="3"/>
        <v>0</v>
      </c>
      <c r="O44" s="162">
        <f t="shared" si="4"/>
        <v>0</v>
      </c>
      <c r="P44" s="4"/>
    </row>
    <row r="45" spans="2:16">
      <c r="B45" s="9" t="str">
        <f t="shared" si="5"/>
        <v/>
      </c>
      <c r="C45" s="157">
        <f>IF(D11="","-",+C44+1)</f>
        <v>2039</v>
      </c>
      <c r="D45" s="163">
        <f>IF(F44+SUM(E$17:E44)=D$10,F44,D$10-SUM(E$17:E44))</f>
        <v>487041.37550447031</v>
      </c>
      <c r="E45" s="164">
        <f>IF(+I14&lt;F44,I14,D45)</f>
        <v>35102.4905</v>
      </c>
      <c r="F45" s="163">
        <f t="shared" si="10"/>
        <v>451938.8850044703</v>
      </c>
      <c r="G45" s="165">
        <f t="shared" si="11"/>
        <v>87524.176871662799</v>
      </c>
      <c r="H45" s="147">
        <f t="shared" si="12"/>
        <v>87524.176871662799</v>
      </c>
      <c r="I45" s="160">
        <f t="shared" si="6"/>
        <v>0</v>
      </c>
      <c r="J45" s="160"/>
      <c r="K45" s="335"/>
      <c r="L45" s="162">
        <f t="shared" si="1"/>
        <v>0</v>
      </c>
      <c r="M45" s="335"/>
      <c r="N45" s="162">
        <f t="shared" si="3"/>
        <v>0</v>
      </c>
      <c r="O45" s="162">
        <f t="shared" si="4"/>
        <v>0</v>
      </c>
      <c r="P45" s="4"/>
    </row>
    <row r="46" spans="2:16">
      <c r="B46" s="9" t="str">
        <f t="shared" si="5"/>
        <v/>
      </c>
      <c r="C46" s="157">
        <f>IF(D11="","-",+C45+1)</f>
        <v>2040</v>
      </c>
      <c r="D46" s="163">
        <f>IF(F45+SUM(E$17:E45)=D$10,F45,D$10-SUM(E$17:E45))</f>
        <v>451938.8850044703</v>
      </c>
      <c r="E46" s="164">
        <f>IF(+I14&lt;F45,I14,D46)</f>
        <v>35102.4905</v>
      </c>
      <c r="F46" s="163">
        <f t="shared" si="10"/>
        <v>416836.39450447029</v>
      </c>
      <c r="G46" s="165">
        <f t="shared" si="11"/>
        <v>83604.751032278495</v>
      </c>
      <c r="H46" s="147">
        <f t="shared" si="12"/>
        <v>83604.751032278495</v>
      </c>
      <c r="I46" s="160">
        <f t="shared" si="6"/>
        <v>0</v>
      </c>
      <c r="J46" s="160"/>
      <c r="K46" s="335"/>
      <c r="L46" s="162">
        <f t="shared" si="1"/>
        <v>0</v>
      </c>
      <c r="M46" s="335"/>
      <c r="N46" s="162">
        <f t="shared" si="3"/>
        <v>0</v>
      </c>
      <c r="O46" s="162">
        <f t="shared" si="4"/>
        <v>0</v>
      </c>
      <c r="P46" s="4"/>
    </row>
    <row r="47" spans="2:16">
      <c r="B47" s="9" t="str">
        <f t="shared" si="5"/>
        <v/>
      </c>
      <c r="C47" s="157">
        <f>IF(D11="","-",+C46+1)</f>
        <v>2041</v>
      </c>
      <c r="D47" s="163">
        <f>IF(F46+SUM(E$17:E46)=D$10,F46,D$10-SUM(E$17:E46))</f>
        <v>416836.39450447029</v>
      </c>
      <c r="E47" s="164">
        <f>IF(+I14&lt;F46,I14,D47)</f>
        <v>35102.4905</v>
      </c>
      <c r="F47" s="163">
        <f t="shared" si="10"/>
        <v>381733.90400447027</v>
      </c>
      <c r="G47" s="165">
        <f t="shared" si="11"/>
        <v>79685.32519289419</v>
      </c>
      <c r="H47" s="147">
        <f t="shared" si="12"/>
        <v>79685.32519289419</v>
      </c>
      <c r="I47" s="160">
        <f t="shared" si="6"/>
        <v>0</v>
      </c>
      <c r="J47" s="160"/>
      <c r="K47" s="335"/>
      <c r="L47" s="162">
        <f t="shared" si="1"/>
        <v>0</v>
      </c>
      <c r="M47" s="335"/>
      <c r="N47" s="162">
        <f t="shared" si="3"/>
        <v>0</v>
      </c>
      <c r="O47" s="162">
        <f t="shared" si="4"/>
        <v>0</v>
      </c>
      <c r="P47" s="4"/>
    </row>
    <row r="48" spans="2:16">
      <c r="B48" s="9" t="str">
        <f t="shared" si="5"/>
        <v/>
      </c>
      <c r="C48" s="157">
        <f>IF(D11="","-",+C47+1)</f>
        <v>2042</v>
      </c>
      <c r="D48" s="163">
        <f>IF(F47+SUM(E$17:E47)=D$10,F47,D$10-SUM(E$17:E47))</f>
        <v>381733.90400447027</v>
      </c>
      <c r="E48" s="164">
        <f>IF(+I14&lt;F47,I14,D48)</f>
        <v>35102.4905</v>
      </c>
      <c r="F48" s="163">
        <f t="shared" si="10"/>
        <v>346631.41350447026</v>
      </c>
      <c r="G48" s="165">
        <f t="shared" si="11"/>
        <v>75765.899353509885</v>
      </c>
      <c r="H48" s="147">
        <f t="shared" si="12"/>
        <v>75765.899353509885</v>
      </c>
      <c r="I48" s="160">
        <f t="shared" si="6"/>
        <v>0</v>
      </c>
      <c r="J48" s="160"/>
      <c r="K48" s="335"/>
      <c r="L48" s="162">
        <f t="shared" si="1"/>
        <v>0</v>
      </c>
      <c r="M48" s="335"/>
      <c r="N48" s="162">
        <f t="shared" si="3"/>
        <v>0</v>
      </c>
      <c r="O48" s="162">
        <f t="shared" si="4"/>
        <v>0</v>
      </c>
      <c r="P48" s="4"/>
    </row>
    <row r="49" spans="2:16">
      <c r="B49" s="9" t="str">
        <f t="shared" si="5"/>
        <v/>
      </c>
      <c r="C49" s="157">
        <f>IF(D11="","-",+C48+1)</f>
        <v>2043</v>
      </c>
      <c r="D49" s="163">
        <f>IF(F48+SUM(E$17:E48)=D$10,F48,D$10-SUM(E$17:E48))</f>
        <v>346631.41350447026</v>
      </c>
      <c r="E49" s="164">
        <f>IF(+I14&lt;F48,I14,D49)</f>
        <v>35102.4905</v>
      </c>
      <c r="F49" s="163">
        <f t="shared" si="10"/>
        <v>311528.92300447024</v>
      </c>
      <c r="G49" s="165">
        <f t="shared" si="11"/>
        <v>71846.473514125581</v>
      </c>
      <c r="H49" s="147">
        <f t="shared" si="12"/>
        <v>71846.473514125581</v>
      </c>
      <c r="I49" s="160">
        <f t="shared" ref="I49:I72" si="13">H49-G49</f>
        <v>0</v>
      </c>
      <c r="J49" s="160"/>
      <c r="K49" s="335"/>
      <c r="L49" s="162">
        <f t="shared" ref="L49:L72" si="14">IF(K49&lt;&gt;0,+G49-K49,0)</f>
        <v>0</v>
      </c>
      <c r="M49" s="335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ref="B50:B72" si="17">IF(D50=F49,"","IU")</f>
        <v/>
      </c>
      <c r="C50" s="157">
        <f>IF(D11="","-",+C49+1)</f>
        <v>2044</v>
      </c>
      <c r="D50" s="163">
        <f>IF(F49+SUM(E$17:E49)=D$10,F49,D$10-SUM(E$17:E49))</f>
        <v>311528.92300447024</v>
      </c>
      <c r="E50" s="164">
        <f>IF(+I14&lt;F49,I14,D50)</f>
        <v>35102.4905</v>
      </c>
      <c r="F50" s="163">
        <f t="shared" ref="F50:F72" si="18">+D50-E50</f>
        <v>276426.43250447023</v>
      </c>
      <c r="G50" s="165">
        <f t="shared" si="11"/>
        <v>67927.047674741276</v>
      </c>
      <c r="H50" s="147">
        <f t="shared" si="12"/>
        <v>67927.047674741276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17"/>
        <v/>
      </c>
      <c r="C51" s="157">
        <f>IF(D11="","-",+C50+1)</f>
        <v>2045</v>
      </c>
      <c r="D51" s="163">
        <f>IF(F50+SUM(E$17:E50)=D$10,F50,D$10-SUM(E$17:E50))</f>
        <v>276426.43250447023</v>
      </c>
      <c r="E51" s="164">
        <f>IF(+I14&lt;F50,I14,D51)</f>
        <v>35102.4905</v>
      </c>
      <c r="F51" s="163">
        <f t="shared" si="18"/>
        <v>241323.94200447021</v>
      </c>
      <c r="G51" s="165">
        <f t="shared" si="11"/>
        <v>64007.621835356971</v>
      </c>
      <c r="H51" s="147">
        <f t="shared" si="12"/>
        <v>64007.621835356971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17"/>
        <v/>
      </c>
      <c r="C52" s="157">
        <f>IF(D11="","-",+C51+1)</f>
        <v>2046</v>
      </c>
      <c r="D52" s="163">
        <f>IF(F51+SUM(E$17:E51)=D$10,F51,D$10-SUM(E$17:E51))</f>
        <v>241323.94200447021</v>
      </c>
      <c r="E52" s="164">
        <f>IF(+I14&lt;F51,I14,D52)</f>
        <v>35102.4905</v>
      </c>
      <c r="F52" s="163">
        <f t="shared" si="18"/>
        <v>206221.4515044702</v>
      </c>
      <c r="G52" s="165">
        <f t="shared" si="11"/>
        <v>60088.195995972666</v>
      </c>
      <c r="H52" s="147">
        <f t="shared" si="12"/>
        <v>60088.195995972666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17"/>
        <v/>
      </c>
      <c r="C53" s="157">
        <f>IF(D11="","-",+C52+1)</f>
        <v>2047</v>
      </c>
      <c r="D53" s="163">
        <f>IF(F52+SUM(E$17:E52)=D$10,F52,D$10-SUM(E$17:E52))</f>
        <v>206221.4515044702</v>
      </c>
      <c r="E53" s="164">
        <f>IF(+I14&lt;F52,I14,D53)</f>
        <v>35102.4905</v>
      </c>
      <c r="F53" s="163">
        <f t="shared" si="18"/>
        <v>171118.96100447018</v>
      </c>
      <c r="G53" s="165">
        <f t="shared" si="11"/>
        <v>56168.770156588362</v>
      </c>
      <c r="H53" s="147">
        <f t="shared" si="12"/>
        <v>56168.770156588362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17"/>
        <v/>
      </c>
      <c r="C54" s="157">
        <f>IF(D11="","-",+C53+1)</f>
        <v>2048</v>
      </c>
      <c r="D54" s="163">
        <f>IF(F53+SUM(E$17:E53)=D$10,F53,D$10-SUM(E$17:E53))</f>
        <v>171118.96100447018</v>
      </c>
      <c r="E54" s="164">
        <f>IF(+I14&lt;F53,I14,D54)</f>
        <v>35102.4905</v>
      </c>
      <c r="F54" s="163">
        <f t="shared" si="18"/>
        <v>136016.47050447017</v>
      </c>
      <c r="G54" s="165">
        <f t="shared" si="11"/>
        <v>52249.344317204057</v>
      </c>
      <c r="H54" s="147">
        <f t="shared" si="12"/>
        <v>52249.344317204057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17"/>
        <v/>
      </c>
      <c r="C55" s="157">
        <f>IF(D11="","-",+C54+1)</f>
        <v>2049</v>
      </c>
      <c r="D55" s="163">
        <f>IF(F54+SUM(E$17:E54)=D$10,F54,D$10-SUM(E$17:E54))</f>
        <v>136016.47050447017</v>
      </c>
      <c r="E55" s="164">
        <f>IF(+I14&lt;F54,I14,D55)</f>
        <v>35102.4905</v>
      </c>
      <c r="F55" s="163">
        <f t="shared" si="18"/>
        <v>100913.98000447017</v>
      </c>
      <c r="G55" s="165">
        <f t="shared" si="11"/>
        <v>48329.91847781976</v>
      </c>
      <c r="H55" s="147">
        <f t="shared" si="12"/>
        <v>48329.91847781976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17"/>
        <v/>
      </c>
      <c r="C56" s="157">
        <f>IF(D11="","-",+C55+1)</f>
        <v>2050</v>
      </c>
      <c r="D56" s="163">
        <f>IF(F55+SUM(E$17:E55)=D$10,F55,D$10-SUM(E$17:E55))</f>
        <v>100913.98000447017</v>
      </c>
      <c r="E56" s="164">
        <f>IF(+I14&lt;F55,I14,D56)</f>
        <v>35102.4905</v>
      </c>
      <c r="F56" s="163">
        <f t="shared" si="18"/>
        <v>65811.48950447017</v>
      </c>
      <c r="G56" s="165">
        <f t="shared" si="11"/>
        <v>44410.492638435455</v>
      </c>
      <c r="H56" s="147">
        <f t="shared" si="12"/>
        <v>44410.492638435455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17"/>
        <v/>
      </c>
      <c r="C57" s="157">
        <f>IF(D11="","-",+C56+1)</f>
        <v>2051</v>
      </c>
      <c r="D57" s="163">
        <f>IF(F56+SUM(E$17:E56)=D$10,F56,D$10-SUM(E$17:E56))</f>
        <v>65811.48950447017</v>
      </c>
      <c r="E57" s="164">
        <f>IF(+I14&lt;F56,I14,D57)</f>
        <v>35102.4905</v>
      </c>
      <c r="F57" s="163">
        <f t="shared" si="18"/>
        <v>30708.99900447017</v>
      </c>
      <c r="G57" s="165">
        <f t="shared" si="11"/>
        <v>40491.06679905115</v>
      </c>
      <c r="H57" s="147">
        <f t="shared" si="12"/>
        <v>40491.06679905115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17"/>
        <v/>
      </c>
      <c r="C58" s="157">
        <f>IF(D11="","-",+C57+1)</f>
        <v>2052</v>
      </c>
      <c r="D58" s="163">
        <f>IF(F57+SUM(E$17:E57)=D$10,F57,D$10-SUM(E$17:E57))</f>
        <v>30708.99900447017</v>
      </c>
      <c r="E58" s="164">
        <f>IF(+I14&lt;F57,I14,D58)</f>
        <v>30708.99900447017</v>
      </c>
      <c r="F58" s="163">
        <f t="shared" si="18"/>
        <v>0</v>
      </c>
      <c r="G58" s="165">
        <f t="shared" si="11"/>
        <v>32423.430694149669</v>
      </c>
      <c r="H58" s="147">
        <f t="shared" si="12"/>
        <v>32423.430694149669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17"/>
        <v/>
      </c>
      <c r="C59" s="157">
        <f>IF(D11="","-",+C58+1)</f>
        <v>2053</v>
      </c>
      <c r="D59" s="163">
        <f>IF(F58+SUM(E$17:E58)=D$10,F58,D$10-SUM(E$17:E58))</f>
        <v>0</v>
      </c>
      <c r="E59" s="164">
        <f>IF(+I14&lt;F58,I14,D59)</f>
        <v>0</v>
      </c>
      <c r="F59" s="163">
        <f t="shared" si="18"/>
        <v>0</v>
      </c>
      <c r="G59" s="165">
        <f t="shared" si="11"/>
        <v>0</v>
      </c>
      <c r="H59" s="147">
        <f t="shared" si="12"/>
        <v>0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17"/>
        <v/>
      </c>
      <c r="C60" s="157">
        <f>IF(D11="","-",+C59+1)</f>
        <v>2054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8"/>
        <v>0</v>
      </c>
      <c r="G60" s="165">
        <f t="shared" si="11"/>
        <v>0</v>
      </c>
      <c r="H60" s="147">
        <f t="shared" si="12"/>
        <v>0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17"/>
        <v/>
      </c>
      <c r="C61" s="157">
        <f>IF(D11="","-",+C60+1)</f>
        <v>2055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8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17"/>
        <v/>
      </c>
      <c r="C62" s="157">
        <f>IF(D11="","-",+C61+1)</f>
        <v>2056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8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17"/>
        <v/>
      </c>
      <c r="C63" s="157">
        <f>IF(D11="","-",+C62+1)</f>
        <v>2057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8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17"/>
        <v/>
      </c>
      <c r="C64" s="157">
        <f>IF(D11="","-",+C63+1)</f>
        <v>2058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8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17"/>
        <v/>
      </c>
      <c r="C65" s="157">
        <f>IF(D11="","-",+C64+1)</f>
        <v>2059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8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17"/>
        <v/>
      </c>
      <c r="C66" s="157">
        <f>IF(D11="","-",+C65+1)</f>
        <v>2060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8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17"/>
        <v/>
      </c>
      <c r="C67" s="157">
        <f>IF(D11="","-",+C66+1)</f>
        <v>2061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8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17"/>
        <v/>
      </c>
      <c r="C68" s="157">
        <f>IF(D11="","-",+C67+1)</f>
        <v>2062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8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17"/>
        <v/>
      </c>
      <c r="C69" s="157">
        <f>IF(D11="","-",+C68+1)</f>
        <v>2063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8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17"/>
        <v/>
      </c>
      <c r="C70" s="157">
        <f>IF(D11="","-",+C69+1)</f>
        <v>2064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8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17"/>
        <v/>
      </c>
      <c r="C71" s="157">
        <f>IF(D11="","-",+C70+1)</f>
        <v>2065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8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17"/>
        <v/>
      </c>
      <c r="C72" s="168">
        <f>IF(D11="","-",+C71+1)</f>
        <v>2066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8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1404099.62</v>
      </c>
      <c r="F73" s="115"/>
      <c r="G73" s="115">
        <f>SUM(G17:G72)</f>
        <v>5121180.5573601769</v>
      </c>
      <c r="H73" s="115">
        <f>SUM(H17:H72)</f>
        <v>5121180.5573601769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11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185818.9047826087</v>
      </c>
      <c r="N87" s="202">
        <f>IF(J92&lt;D11,0,VLOOKUP(J92,C17:O72,11))</f>
        <v>185818.9047826087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186938.81917011391</v>
      </c>
      <c r="N88" s="204">
        <f>IF(J92&lt;D11,0,VLOOKUP(J92,C99:P154,7))</f>
        <v>186938.81917011391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Bartlesville SE to Coffeyville T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1119.9143875052105</v>
      </c>
      <c r="N89" s="207">
        <f>+N88-N87</f>
        <v>1119.9143875052105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TP2008079-PSO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D10</f>
        <v>1404099.6199999999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2011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30524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2011</v>
      </c>
      <c r="D99" s="366">
        <v>0</v>
      </c>
      <c r="E99" s="368">
        <v>13815</v>
      </c>
      <c r="F99" s="432">
        <v>1422922</v>
      </c>
      <c r="G99" s="373">
        <v>711461</v>
      </c>
      <c r="H99" s="375">
        <v>113286.80836539247</v>
      </c>
      <c r="I99" s="375">
        <v>113286.80836539247</v>
      </c>
      <c r="J99" s="162">
        <f t="shared" ref="J99:J130" si="19">+I99-H99</f>
        <v>0</v>
      </c>
      <c r="K99" s="434"/>
      <c r="L99" s="384">
        <f t="shared" ref="L99:L104" si="20">H99</f>
        <v>113286.80836539247</v>
      </c>
      <c r="M99" s="435">
        <f t="shared" ref="M99:M130" si="21">IF(L99&lt;&gt;0,+H99-L99,0)</f>
        <v>0</v>
      </c>
      <c r="N99" s="384">
        <f t="shared" ref="N99:N104" si="22">I99</f>
        <v>113286.80836539247</v>
      </c>
      <c r="O99" s="161">
        <f t="shared" ref="O99:O130" si="23">IF(N99&lt;&gt;0,+I99-N99,0)</f>
        <v>0</v>
      </c>
      <c r="P99" s="175">
        <f t="shared" ref="P99:P130" si="24">+O99-M99</f>
        <v>0</v>
      </c>
    </row>
    <row r="100" spans="1:16">
      <c r="B100" s="9" t="str">
        <f t="shared" ref="B100:B131" si="25">IF(D100=F99,"","IU")</f>
        <v>IU</v>
      </c>
      <c r="C100" s="157">
        <f>IF(D93="","-",+C99+1)</f>
        <v>2012</v>
      </c>
      <c r="D100" s="366">
        <v>1479908</v>
      </c>
      <c r="E100" s="368">
        <v>28725</v>
      </c>
      <c r="F100" s="432">
        <v>1451183</v>
      </c>
      <c r="G100" s="371">
        <v>1465545.5</v>
      </c>
      <c r="H100" s="375">
        <v>239551.75399863988</v>
      </c>
      <c r="I100" s="375">
        <v>239551.75399863988</v>
      </c>
      <c r="J100" s="162">
        <v>0</v>
      </c>
      <c r="K100" s="434"/>
      <c r="L100" s="380">
        <f t="shared" si="20"/>
        <v>239551.75399863988</v>
      </c>
      <c r="M100" s="435">
        <f>IF(L100&lt;&gt;0,+H100-L100,0)</f>
        <v>0</v>
      </c>
      <c r="N100" s="380">
        <f t="shared" si="22"/>
        <v>239551.75399863988</v>
      </c>
      <c r="O100" s="162">
        <f>IF(N100&lt;&gt;0,+I100-N100,0)</f>
        <v>0</v>
      </c>
      <c r="P100" s="175">
        <f>+O100-M100</f>
        <v>0</v>
      </c>
    </row>
    <row r="101" spans="1:16">
      <c r="B101" s="9" t="str">
        <f t="shared" si="25"/>
        <v/>
      </c>
      <c r="C101" s="157">
        <f>IF(D93="","-",+C100+1)</f>
        <v>2013</v>
      </c>
      <c r="D101" s="366">
        <v>1451183</v>
      </c>
      <c r="E101" s="368">
        <v>28725</v>
      </c>
      <c r="F101" s="432">
        <v>1422458</v>
      </c>
      <c r="G101" s="371">
        <v>1436820.5</v>
      </c>
      <c r="H101" s="375">
        <v>235540.35933406017</v>
      </c>
      <c r="I101" s="375">
        <v>235540.35933406017</v>
      </c>
      <c r="J101" s="162">
        <v>0</v>
      </c>
      <c r="K101" s="434"/>
      <c r="L101" s="380">
        <f t="shared" si="20"/>
        <v>235540.35933406017</v>
      </c>
      <c r="M101" s="435">
        <f>IF(L101&lt;&gt;0,+H101-L101,0)</f>
        <v>0</v>
      </c>
      <c r="N101" s="380">
        <f t="shared" si="22"/>
        <v>235540.35933406017</v>
      </c>
      <c r="O101" s="162">
        <f>IF(N101&lt;&gt;0,+I101-N101,0)</f>
        <v>0</v>
      </c>
      <c r="P101" s="175">
        <f>+O101-M101</f>
        <v>0</v>
      </c>
    </row>
    <row r="102" spans="1:16">
      <c r="B102" s="9" t="str">
        <f t="shared" si="25"/>
        <v>IU</v>
      </c>
      <c r="C102" s="157">
        <f>IF(D93="","-",+C101+1)</f>
        <v>2014</v>
      </c>
      <c r="D102" s="366">
        <v>1332834.6199999999</v>
      </c>
      <c r="E102" s="368">
        <v>27002</v>
      </c>
      <c r="F102" s="432">
        <v>1305832.6199999999</v>
      </c>
      <c r="G102" s="371">
        <v>1319333.6199999999</v>
      </c>
      <c r="H102" s="375">
        <v>212494.91385632072</v>
      </c>
      <c r="I102" s="375">
        <v>212494.91385632072</v>
      </c>
      <c r="J102" s="162">
        <v>0</v>
      </c>
      <c r="K102" s="434"/>
      <c r="L102" s="380">
        <f t="shared" si="20"/>
        <v>212494.91385632072</v>
      </c>
      <c r="M102" s="435">
        <f>IF(L102&lt;&gt;0,+H102-L102,0)</f>
        <v>0</v>
      </c>
      <c r="N102" s="380">
        <f t="shared" si="22"/>
        <v>212494.91385632072</v>
      </c>
      <c r="O102" s="162">
        <f>IF(N102&lt;&gt;0,+I102-N102,0)</f>
        <v>0</v>
      </c>
      <c r="P102" s="175">
        <f>+O102-M102</f>
        <v>0</v>
      </c>
    </row>
    <row r="103" spans="1:16">
      <c r="B103" s="9" t="str">
        <f t="shared" si="25"/>
        <v/>
      </c>
      <c r="C103" s="157">
        <f>IF(D93="","-",+C102+1)</f>
        <v>2015</v>
      </c>
      <c r="D103" s="366">
        <v>1305832.6199999999</v>
      </c>
      <c r="E103" s="368">
        <v>27002</v>
      </c>
      <c r="F103" s="432">
        <v>1278830.6199999999</v>
      </c>
      <c r="G103" s="371">
        <v>1292331.6199999999</v>
      </c>
      <c r="H103" s="375">
        <v>203330.25869072074</v>
      </c>
      <c r="I103" s="375">
        <v>203330.25869072074</v>
      </c>
      <c r="J103" s="162">
        <f t="shared" si="19"/>
        <v>0</v>
      </c>
      <c r="K103" s="434"/>
      <c r="L103" s="380">
        <f t="shared" si="20"/>
        <v>203330.25869072074</v>
      </c>
      <c r="M103" s="435">
        <f>IF(L103&lt;&gt;0,+H103-L103,0)</f>
        <v>0</v>
      </c>
      <c r="N103" s="380">
        <f t="shared" si="22"/>
        <v>203330.25869072074</v>
      </c>
      <c r="O103" s="162">
        <f>IF(N103&lt;&gt;0,+I103-N103,0)</f>
        <v>0</v>
      </c>
      <c r="P103" s="175">
        <f>+O103-M103</f>
        <v>0</v>
      </c>
    </row>
    <row r="104" spans="1:16">
      <c r="B104" s="9" t="str">
        <f t="shared" si="25"/>
        <v/>
      </c>
      <c r="C104" s="157">
        <f>IF(D93="","-",+C103+1)</f>
        <v>2016</v>
      </c>
      <c r="D104" s="366">
        <v>1278830.6199999999</v>
      </c>
      <c r="E104" s="368">
        <v>30524</v>
      </c>
      <c r="F104" s="432">
        <v>1248306.6199999999</v>
      </c>
      <c r="G104" s="371">
        <v>1263568.6199999999</v>
      </c>
      <c r="H104" s="375">
        <v>193417.89490142919</v>
      </c>
      <c r="I104" s="375">
        <v>193417.89490142919</v>
      </c>
      <c r="J104" s="162">
        <v>0</v>
      </c>
      <c r="K104" s="162"/>
      <c r="L104" s="380">
        <f t="shared" si="20"/>
        <v>193417.89490142919</v>
      </c>
      <c r="M104" s="435">
        <f>IF(L104&lt;&gt;0,+H104-L104,0)</f>
        <v>0</v>
      </c>
      <c r="N104" s="380">
        <f t="shared" si="22"/>
        <v>193417.89490142919</v>
      </c>
      <c r="O104" s="162">
        <f>IF(N104&lt;&gt;0,+I104-N104,0)</f>
        <v>0</v>
      </c>
      <c r="P104" s="175">
        <f>+O104-M104</f>
        <v>0</v>
      </c>
    </row>
    <row r="105" spans="1:16">
      <c r="B105" s="9" t="str">
        <f t="shared" si="25"/>
        <v/>
      </c>
      <c r="C105" s="157">
        <f>IF(D93="","-",+C104+1)</f>
        <v>2017</v>
      </c>
      <c r="D105" s="158">
        <f>IF(F104+SUM(E$99:E104)=D$92,F104,D$92-SUM(E$99:E104))</f>
        <v>1248306.6199999999</v>
      </c>
      <c r="E105" s="164">
        <f>IF(+J96&lt;F104,J96,D105)</f>
        <v>30524</v>
      </c>
      <c r="F105" s="433">
        <f t="shared" ref="F105:F130" si="26">+D105-E105</f>
        <v>1217782.6199999999</v>
      </c>
      <c r="G105" s="163">
        <f t="shared" ref="G105:G130" si="27">+(F105+D105)/2</f>
        <v>1233044.6199999999</v>
      </c>
      <c r="H105" s="317">
        <f t="shared" ref="H105:H130" si="28">+J$94*G105+E105</f>
        <v>186938.81917011391</v>
      </c>
      <c r="I105" s="317">
        <f t="shared" ref="I105:I130" si="29">+J$95*G105+E105</f>
        <v>186938.81917011391</v>
      </c>
      <c r="J105" s="162">
        <f t="shared" si="19"/>
        <v>0</v>
      </c>
      <c r="K105" s="162"/>
      <c r="L105" s="335"/>
      <c r="M105" s="434">
        <f t="shared" si="21"/>
        <v>0</v>
      </c>
      <c r="N105" s="335"/>
      <c r="O105" s="162">
        <f t="shared" si="23"/>
        <v>0</v>
      </c>
      <c r="P105" s="160">
        <f t="shared" si="24"/>
        <v>0</v>
      </c>
    </row>
    <row r="106" spans="1:16">
      <c r="B106" s="9" t="str">
        <f t="shared" si="25"/>
        <v/>
      </c>
      <c r="C106" s="157">
        <f>IF(D93="","-",+C105+1)</f>
        <v>2018</v>
      </c>
      <c r="D106" s="158">
        <f>IF(F105+SUM(E$99:E105)=D$92,F105,D$92-SUM(E$99:E105))</f>
        <v>1217782.6199999999</v>
      </c>
      <c r="E106" s="164">
        <f>IF(+J96&lt;F105,J96,D106)</f>
        <v>30524</v>
      </c>
      <c r="F106" s="163">
        <f t="shared" si="26"/>
        <v>1187258.6199999999</v>
      </c>
      <c r="G106" s="163">
        <f t="shared" si="27"/>
        <v>1202520.6199999999</v>
      </c>
      <c r="H106" s="167">
        <f t="shared" si="28"/>
        <v>183066.77280382055</v>
      </c>
      <c r="I106" s="317">
        <f t="shared" si="29"/>
        <v>183066.77280382055</v>
      </c>
      <c r="J106" s="162">
        <f t="shared" si="19"/>
        <v>0</v>
      </c>
      <c r="K106" s="162"/>
      <c r="L106" s="335"/>
      <c r="M106" s="434">
        <f t="shared" si="21"/>
        <v>0</v>
      </c>
      <c r="N106" s="335"/>
      <c r="O106" s="162">
        <f t="shared" si="23"/>
        <v>0</v>
      </c>
      <c r="P106" s="160">
        <f t="shared" si="24"/>
        <v>0</v>
      </c>
    </row>
    <row r="107" spans="1:16">
      <c r="B107" s="9" t="str">
        <f t="shared" si="25"/>
        <v/>
      </c>
      <c r="C107" s="157">
        <f>IF(D93="","-",+C106+1)</f>
        <v>2019</v>
      </c>
      <c r="D107" s="158">
        <f>IF(F106+SUM(E$99:E106)=D$92,F106,D$92-SUM(E$99:E106))</f>
        <v>1187258.6199999999</v>
      </c>
      <c r="E107" s="165">
        <f>IF(+J96&lt;F106,J96,D107)</f>
        <v>30524</v>
      </c>
      <c r="F107" s="163">
        <f t="shared" si="26"/>
        <v>1156734.6199999999</v>
      </c>
      <c r="G107" s="163">
        <f t="shared" si="27"/>
        <v>1171996.6199999999</v>
      </c>
      <c r="H107" s="167">
        <f t="shared" si="28"/>
        <v>179194.72643752722</v>
      </c>
      <c r="I107" s="317">
        <f t="shared" si="29"/>
        <v>179194.72643752722</v>
      </c>
      <c r="J107" s="162">
        <f t="shared" si="19"/>
        <v>0</v>
      </c>
      <c r="K107" s="162"/>
      <c r="L107" s="335"/>
      <c r="M107" s="162">
        <f t="shared" si="21"/>
        <v>0</v>
      </c>
      <c r="N107" s="335"/>
      <c r="O107" s="162">
        <f t="shared" si="23"/>
        <v>0</v>
      </c>
      <c r="P107" s="160">
        <f t="shared" si="24"/>
        <v>0</v>
      </c>
    </row>
    <row r="108" spans="1:16">
      <c r="B108" s="9" t="str">
        <f t="shared" si="25"/>
        <v/>
      </c>
      <c r="C108" s="157">
        <f>IF(D93="","-",+C107+1)</f>
        <v>2020</v>
      </c>
      <c r="D108" s="158">
        <f>IF(F107+SUM(E$99:E107)=D$92,F107,D$92-SUM(E$99:E107))</f>
        <v>1156734.6199999999</v>
      </c>
      <c r="E108" s="165">
        <f>IF(+J96&lt;F107,J96,D108)</f>
        <v>30524</v>
      </c>
      <c r="F108" s="163">
        <f t="shared" si="26"/>
        <v>1126210.6199999999</v>
      </c>
      <c r="G108" s="163">
        <f t="shared" si="27"/>
        <v>1141472.6199999999</v>
      </c>
      <c r="H108" s="167">
        <f t="shared" si="28"/>
        <v>175322.68007123386</v>
      </c>
      <c r="I108" s="317">
        <f t="shared" si="29"/>
        <v>175322.68007123386</v>
      </c>
      <c r="J108" s="162">
        <f t="shared" si="19"/>
        <v>0</v>
      </c>
      <c r="K108" s="162"/>
      <c r="L108" s="335"/>
      <c r="M108" s="162">
        <f t="shared" si="21"/>
        <v>0</v>
      </c>
      <c r="N108" s="335"/>
      <c r="O108" s="162">
        <f t="shared" si="23"/>
        <v>0</v>
      </c>
      <c r="P108" s="160">
        <f t="shared" si="24"/>
        <v>0</v>
      </c>
    </row>
    <row r="109" spans="1:16">
      <c r="B109" s="9" t="str">
        <f t="shared" si="25"/>
        <v/>
      </c>
      <c r="C109" s="157">
        <f>IF(D93="","-",+C108+1)</f>
        <v>2021</v>
      </c>
      <c r="D109" s="158">
        <f>IF(F108+SUM(E$99:E108)=D$92,F108,D$92-SUM(E$99:E108))</f>
        <v>1126210.6199999999</v>
      </c>
      <c r="E109" s="165">
        <f>IF(+J96&lt;F108,J96,D109)</f>
        <v>30524</v>
      </c>
      <c r="F109" s="163">
        <f t="shared" si="26"/>
        <v>1095686.6199999999</v>
      </c>
      <c r="G109" s="163">
        <f t="shared" si="27"/>
        <v>1110948.6199999999</v>
      </c>
      <c r="H109" s="167">
        <f t="shared" si="28"/>
        <v>171450.63370494053</v>
      </c>
      <c r="I109" s="317">
        <f t="shared" si="29"/>
        <v>171450.63370494053</v>
      </c>
      <c r="J109" s="162">
        <f t="shared" si="19"/>
        <v>0</v>
      </c>
      <c r="K109" s="162"/>
      <c r="L109" s="335"/>
      <c r="M109" s="162">
        <f t="shared" si="21"/>
        <v>0</v>
      </c>
      <c r="N109" s="335"/>
      <c r="O109" s="162">
        <f t="shared" si="23"/>
        <v>0</v>
      </c>
      <c r="P109" s="162">
        <f t="shared" si="24"/>
        <v>0</v>
      </c>
    </row>
    <row r="110" spans="1:16">
      <c r="B110" s="9" t="str">
        <f t="shared" si="25"/>
        <v/>
      </c>
      <c r="C110" s="157">
        <f>IF(D93="","-",+C109+1)</f>
        <v>2022</v>
      </c>
      <c r="D110" s="158">
        <f>IF(F109+SUM(E$99:E109)=D$92,F109,D$92-SUM(E$99:E109))</f>
        <v>1095686.6199999999</v>
      </c>
      <c r="E110" s="165">
        <f>IF(+J96&lt;F109,J96,D110)</f>
        <v>30524</v>
      </c>
      <c r="F110" s="163">
        <f t="shared" si="26"/>
        <v>1065162.6199999999</v>
      </c>
      <c r="G110" s="163">
        <f t="shared" si="27"/>
        <v>1080424.6199999999</v>
      </c>
      <c r="H110" s="167">
        <f t="shared" si="28"/>
        <v>167578.58733864719</v>
      </c>
      <c r="I110" s="317">
        <f t="shared" si="29"/>
        <v>167578.58733864719</v>
      </c>
      <c r="J110" s="162">
        <f t="shared" si="19"/>
        <v>0</v>
      </c>
      <c r="K110" s="162"/>
      <c r="L110" s="335"/>
      <c r="M110" s="162">
        <f t="shared" si="21"/>
        <v>0</v>
      </c>
      <c r="N110" s="335"/>
      <c r="O110" s="162">
        <f t="shared" si="23"/>
        <v>0</v>
      </c>
      <c r="P110" s="162">
        <f t="shared" si="24"/>
        <v>0</v>
      </c>
    </row>
    <row r="111" spans="1:16">
      <c r="B111" s="9" t="str">
        <f t="shared" si="25"/>
        <v/>
      </c>
      <c r="C111" s="157">
        <f>IF(D93="","-",+C110+1)</f>
        <v>2023</v>
      </c>
      <c r="D111" s="158">
        <f>IF(F110+SUM(E$99:E110)=D$92,F110,D$92-SUM(E$99:E110))</f>
        <v>1065162.6199999999</v>
      </c>
      <c r="E111" s="165">
        <f>IF(+J96&lt;F110,J96,D111)</f>
        <v>30524</v>
      </c>
      <c r="F111" s="163">
        <f t="shared" si="26"/>
        <v>1034638.6199999999</v>
      </c>
      <c r="G111" s="163">
        <f t="shared" si="27"/>
        <v>1049900.6199999999</v>
      </c>
      <c r="H111" s="167">
        <f t="shared" si="28"/>
        <v>163706.54097235383</v>
      </c>
      <c r="I111" s="317">
        <f t="shared" si="29"/>
        <v>163706.54097235383</v>
      </c>
      <c r="J111" s="162">
        <f t="shared" si="19"/>
        <v>0</v>
      </c>
      <c r="K111" s="162"/>
      <c r="L111" s="335"/>
      <c r="M111" s="162">
        <f t="shared" si="21"/>
        <v>0</v>
      </c>
      <c r="N111" s="335"/>
      <c r="O111" s="162">
        <f t="shared" si="23"/>
        <v>0</v>
      </c>
      <c r="P111" s="162">
        <f t="shared" si="24"/>
        <v>0</v>
      </c>
    </row>
    <row r="112" spans="1:16">
      <c r="B112" s="9" t="str">
        <f t="shared" si="25"/>
        <v/>
      </c>
      <c r="C112" s="157">
        <f>IF(D93="","-",+C111+1)</f>
        <v>2024</v>
      </c>
      <c r="D112" s="158">
        <f>IF(F111+SUM(E$99:E111)=D$92,F111,D$92-SUM(E$99:E111))</f>
        <v>1034638.6199999999</v>
      </c>
      <c r="E112" s="165">
        <f>IF(+J96&lt;F111,J96,D112)</f>
        <v>30524</v>
      </c>
      <c r="F112" s="163">
        <f t="shared" si="26"/>
        <v>1004114.6199999999</v>
      </c>
      <c r="G112" s="163">
        <f t="shared" si="27"/>
        <v>1019376.6199999999</v>
      </c>
      <c r="H112" s="167">
        <f t="shared" si="28"/>
        <v>159834.4946060605</v>
      </c>
      <c r="I112" s="317">
        <f t="shared" si="29"/>
        <v>159834.4946060605</v>
      </c>
      <c r="J112" s="162">
        <f t="shared" si="19"/>
        <v>0</v>
      </c>
      <c r="K112" s="162"/>
      <c r="L112" s="335"/>
      <c r="M112" s="162">
        <f t="shared" si="21"/>
        <v>0</v>
      </c>
      <c r="N112" s="335"/>
      <c r="O112" s="162">
        <f t="shared" si="23"/>
        <v>0</v>
      </c>
      <c r="P112" s="162">
        <f t="shared" si="24"/>
        <v>0</v>
      </c>
    </row>
    <row r="113" spans="2:16">
      <c r="B113" s="9" t="str">
        <f t="shared" si="25"/>
        <v/>
      </c>
      <c r="C113" s="157">
        <f>IF(D93="","-",+C112+1)</f>
        <v>2025</v>
      </c>
      <c r="D113" s="158">
        <f>IF(F112+SUM(E$99:E112)=D$92,F112,D$92-SUM(E$99:E112))</f>
        <v>1004114.6199999999</v>
      </c>
      <c r="E113" s="165">
        <f>IF(+J96&lt;F112,J96,D113)</f>
        <v>30524</v>
      </c>
      <c r="F113" s="163">
        <f t="shared" si="26"/>
        <v>973590.61999999988</v>
      </c>
      <c r="G113" s="163">
        <f t="shared" si="27"/>
        <v>988852.61999999988</v>
      </c>
      <c r="H113" s="167">
        <f t="shared" si="28"/>
        <v>155962.44823976717</v>
      </c>
      <c r="I113" s="317">
        <f t="shared" si="29"/>
        <v>155962.44823976717</v>
      </c>
      <c r="J113" s="162">
        <f t="shared" si="19"/>
        <v>0</v>
      </c>
      <c r="K113" s="162"/>
      <c r="L113" s="335"/>
      <c r="M113" s="162">
        <f t="shared" si="21"/>
        <v>0</v>
      </c>
      <c r="N113" s="335"/>
      <c r="O113" s="162">
        <f t="shared" si="23"/>
        <v>0</v>
      </c>
      <c r="P113" s="162">
        <f t="shared" si="24"/>
        <v>0</v>
      </c>
    </row>
    <row r="114" spans="2:16">
      <c r="B114" s="9" t="str">
        <f t="shared" si="25"/>
        <v/>
      </c>
      <c r="C114" s="157">
        <f>IF(D93="","-",+C113+1)</f>
        <v>2026</v>
      </c>
      <c r="D114" s="158">
        <f>IF(F113+SUM(E$99:E113)=D$92,F113,D$92-SUM(E$99:E113))</f>
        <v>973590.61999999988</v>
      </c>
      <c r="E114" s="165">
        <f>IF(+J96&lt;F113,J96,D114)</f>
        <v>30524</v>
      </c>
      <c r="F114" s="163">
        <f t="shared" si="26"/>
        <v>943066.61999999988</v>
      </c>
      <c r="G114" s="163">
        <f t="shared" si="27"/>
        <v>958328.61999999988</v>
      </c>
      <c r="H114" s="167">
        <f t="shared" si="28"/>
        <v>152090.40187347381</v>
      </c>
      <c r="I114" s="317">
        <f t="shared" si="29"/>
        <v>152090.40187347381</v>
      </c>
      <c r="J114" s="162">
        <f t="shared" si="19"/>
        <v>0</v>
      </c>
      <c r="K114" s="162"/>
      <c r="L114" s="335"/>
      <c r="M114" s="162">
        <f t="shared" si="21"/>
        <v>0</v>
      </c>
      <c r="N114" s="335"/>
      <c r="O114" s="162">
        <f t="shared" si="23"/>
        <v>0</v>
      </c>
      <c r="P114" s="162">
        <f t="shared" si="24"/>
        <v>0</v>
      </c>
    </row>
    <row r="115" spans="2:16">
      <c r="B115" s="9" t="str">
        <f t="shared" si="25"/>
        <v/>
      </c>
      <c r="C115" s="157">
        <f>IF(D93="","-",+C114+1)</f>
        <v>2027</v>
      </c>
      <c r="D115" s="158">
        <f>IF(F114+SUM(E$99:E114)=D$92,F114,D$92-SUM(E$99:E114))</f>
        <v>943066.61999999988</v>
      </c>
      <c r="E115" s="165">
        <f>IF(+J96&lt;F114,J96,D115)</f>
        <v>30524</v>
      </c>
      <c r="F115" s="163">
        <f t="shared" si="26"/>
        <v>912542.61999999988</v>
      </c>
      <c r="G115" s="163">
        <f t="shared" si="27"/>
        <v>927804.61999999988</v>
      </c>
      <c r="H115" s="167">
        <f t="shared" si="28"/>
        <v>148218.35550718044</v>
      </c>
      <c r="I115" s="317">
        <f t="shared" si="29"/>
        <v>148218.35550718044</v>
      </c>
      <c r="J115" s="162">
        <f t="shared" si="19"/>
        <v>0</v>
      </c>
      <c r="K115" s="162"/>
      <c r="L115" s="335"/>
      <c r="M115" s="162">
        <f t="shared" si="21"/>
        <v>0</v>
      </c>
      <c r="N115" s="335"/>
      <c r="O115" s="162">
        <f t="shared" si="23"/>
        <v>0</v>
      </c>
      <c r="P115" s="162">
        <f t="shared" si="24"/>
        <v>0</v>
      </c>
    </row>
    <row r="116" spans="2:16">
      <c r="B116" s="9" t="str">
        <f t="shared" si="25"/>
        <v/>
      </c>
      <c r="C116" s="157">
        <f>IF(D93="","-",+C115+1)</f>
        <v>2028</v>
      </c>
      <c r="D116" s="158">
        <f>IF(F115+SUM(E$99:E115)=D$92,F115,D$92-SUM(E$99:E115))</f>
        <v>912542.61999999988</v>
      </c>
      <c r="E116" s="165">
        <f>IF(+J96&lt;F115,J96,D116)</f>
        <v>30524</v>
      </c>
      <c r="F116" s="163">
        <f t="shared" si="26"/>
        <v>882018.61999999988</v>
      </c>
      <c r="G116" s="163">
        <f t="shared" si="27"/>
        <v>897280.61999999988</v>
      </c>
      <c r="H116" s="167">
        <f t="shared" si="28"/>
        <v>144346.30914088711</v>
      </c>
      <c r="I116" s="317">
        <f t="shared" si="29"/>
        <v>144346.30914088711</v>
      </c>
      <c r="J116" s="162">
        <f t="shared" si="19"/>
        <v>0</v>
      </c>
      <c r="K116" s="162"/>
      <c r="L116" s="335"/>
      <c r="M116" s="162">
        <f t="shared" si="21"/>
        <v>0</v>
      </c>
      <c r="N116" s="335"/>
      <c r="O116" s="162">
        <f t="shared" si="23"/>
        <v>0</v>
      </c>
      <c r="P116" s="162">
        <f t="shared" si="24"/>
        <v>0</v>
      </c>
    </row>
    <row r="117" spans="2:16">
      <c r="B117" s="9" t="str">
        <f t="shared" si="25"/>
        <v/>
      </c>
      <c r="C117" s="157">
        <f>IF(D93="","-",+C116+1)</f>
        <v>2029</v>
      </c>
      <c r="D117" s="158">
        <f>IF(F116+SUM(E$99:E116)=D$92,F116,D$92-SUM(E$99:E116))</f>
        <v>882018.61999999988</v>
      </c>
      <c r="E117" s="165">
        <f>IF(+J96&lt;F116,J96,D117)</f>
        <v>30524</v>
      </c>
      <c r="F117" s="163">
        <f t="shared" si="26"/>
        <v>851494.61999999988</v>
      </c>
      <c r="G117" s="163">
        <f t="shared" si="27"/>
        <v>866756.61999999988</v>
      </c>
      <c r="H117" s="167">
        <f t="shared" si="28"/>
        <v>140474.26277459378</v>
      </c>
      <c r="I117" s="317">
        <f t="shared" si="29"/>
        <v>140474.26277459378</v>
      </c>
      <c r="J117" s="162">
        <f t="shared" si="19"/>
        <v>0</v>
      </c>
      <c r="K117" s="162"/>
      <c r="L117" s="335"/>
      <c r="M117" s="162">
        <f t="shared" si="21"/>
        <v>0</v>
      </c>
      <c r="N117" s="335"/>
      <c r="O117" s="162">
        <f t="shared" si="23"/>
        <v>0</v>
      </c>
      <c r="P117" s="162">
        <f t="shared" si="24"/>
        <v>0</v>
      </c>
    </row>
    <row r="118" spans="2:16">
      <c r="B118" s="9" t="str">
        <f t="shared" si="25"/>
        <v/>
      </c>
      <c r="C118" s="157">
        <f>IF(D93="","-",+C117+1)</f>
        <v>2030</v>
      </c>
      <c r="D118" s="158">
        <f>IF(F117+SUM(E$99:E117)=D$92,F117,D$92-SUM(E$99:E117))</f>
        <v>851494.61999999988</v>
      </c>
      <c r="E118" s="165">
        <f>IF(+J96&lt;F117,J96,D118)</f>
        <v>30524</v>
      </c>
      <c r="F118" s="163">
        <f t="shared" si="26"/>
        <v>820970.61999999988</v>
      </c>
      <c r="G118" s="163">
        <f t="shared" si="27"/>
        <v>836232.61999999988</v>
      </c>
      <c r="H118" s="167">
        <f t="shared" si="28"/>
        <v>136602.21640830045</v>
      </c>
      <c r="I118" s="317">
        <f t="shared" si="29"/>
        <v>136602.21640830045</v>
      </c>
      <c r="J118" s="162">
        <f t="shared" si="19"/>
        <v>0</v>
      </c>
      <c r="K118" s="162"/>
      <c r="L118" s="335"/>
      <c r="M118" s="162">
        <f t="shared" si="21"/>
        <v>0</v>
      </c>
      <c r="N118" s="335"/>
      <c r="O118" s="162">
        <f t="shared" si="23"/>
        <v>0</v>
      </c>
      <c r="P118" s="162">
        <f t="shared" si="24"/>
        <v>0</v>
      </c>
    </row>
    <row r="119" spans="2:16">
      <c r="B119" s="9" t="str">
        <f t="shared" si="25"/>
        <v/>
      </c>
      <c r="C119" s="157">
        <f>IF(D93="","-",+C118+1)</f>
        <v>2031</v>
      </c>
      <c r="D119" s="158">
        <f>IF(F118+SUM(E$99:E118)=D$92,F118,D$92-SUM(E$99:E118))</f>
        <v>820970.61999999988</v>
      </c>
      <c r="E119" s="165">
        <f>IF(+J96&lt;F118,J96,D119)</f>
        <v>30524</v>
      </c>
      <c r="F119" s="163">
        <f t="shared" si="26"/>
        <v>790446.61999999988</v>
      </c>
      <c r="G119" s="163">
        <f t="shared" si="27"/>
        <v>805708.61999999988</v>
      </c>
      <c r="H119" s="167">
        <f t="shared" si="28"/>
        <v>132730.17004200708</v>
      </c>
      <c r="I119" s="317">
        <f t="shared" si="29"/>
        <v>132730.17004200708</v>
      </c>
      <c r="J119" s="162">
        <f t="shared" si="19"/>
        <v>0</v>
      </c>
      <c r="K119" s="162"/>
      <c r="L119" s="335"/>
      <c r="M119" s="162">
        <f t="shared" si="21"/>
        <v>0</v>
      </c>
      <c r="N119" s="335"/>
      <c r="O119" s="162">
        <f t="shared" si="23"/>
        <v>0</v>
      </c>
      <c r="P119" s="162">
        <f t="shared" si="24"/>
        <v>0</v>
      </c>
    </row>
    <row r="120" spans="2:16">
      <c r="B120" s="9" t="str">
        <f t="shared" si="25"/>
        <v/>
      </c>
      <c r="C120" s="157">
        <f>IF(D93="","-",+C119+1)</f>
        <v>2032</v>
      </c>
      <c r="D120" s="158">
        <f>IF(F119+SUM(E$99:E119)=D$92,F119,D$92-SUM(E$99:E119))</f>
        <v>790446.61999999988</v>
      </c>
      <c r="E120" s="165">
        <f>IF(+J96&lt;F119,J96,D120)</f>
        <v>30524</v>
      </c>
      <c r="F120" s="163">
        <f t="shared" si="26"/>
        <v>759922.61999999988</v>
      </c>
      <c r="G120" s="163">
        <f t="shared" si="27"/>
        <v>775184.61999999988</v>
      </c>
      <c r="H120" s="167">
        <f t="shared" si="28"/>
        <v>128858.12367571374</v>
      </c>
      <c r="I120" s="317">
        <f t="shared" si="29"/>
        <v>128858.12367571374</v>
      </c>
      <c r="J120" s="162">
        <f t="shared" si="19"/>
        <v>0</v>
      </c>
      <c r="K120" s="162"/>
      <c r="L120" s="335"/>
      <c r="M120" s="162">
        <f t="shared" si="21"/>
        <v>0</v>
      </c>
      <c r="N120" s="335"/>
      <c r="O120" s="162">
        <f t="shared" si="23"/>
        <v>0</v>
      </c>
      <c r="P120" s="162">
        <f t="shared" si="24"/>
        <v>0</v>
      </c>
    </row>
    <row r="121" spans="2:16">
      <c r="B121" s="9" t="str">
        <f t="shared" si="25"/>
        <v/>
      </c>
      <c r="C121" s="157">
        <f>IF(D93="","-",+C120+1)</f>
        <v>2033</v>
      </c>
      <c r="D121" s="158">
        <f>IF(F120+SUM(E$99:E120)=D$92,F120,D$92-SUM(E$99:E120))</f>
        <v>759922.61999999988</v>
      </c>
      <c r="E121" s="165">
        <f>IF(+J96&lt;F120,J96,D121)</f>
        <v>30524</v>
      </c>
      <c r="F121" s="163">
        <f t="shared" si="26"/>
        <v>729398.61999999988</v>
      </c>
      <c r="G121" s="163">
        <f t="shared" si="27"/>
        <v>744660.61999999988</v>
      </c>
      <c r="H121" s="167">
        <f t="shared" si="28"/>
        <v>124986.07730942039</v>
      </c>
      <c r="I121" s="317">
        <f t="shared" si="29"/>
        <v>124986.07730942039</v>
      </c>
      <c r="J121" s="162">
        <f t="shared" si="19"/>
        <v>0</v>
      </c>
      <c r="K121" s="162"/>
      <c r="L121" s="335"/>
      <c r="M121" s="162">
        <f t="shared" si="21"/>
        <v>0</v>
      </c>
      <c r="N121" s="335"/>
      <c r="O121" s="162">
        <f t="shared" si="23"/>
        <v>0</v>
      </c>
      <c r="P121" s="162">
        <f t="shared" si="24"/>
        <v>0</v>
      </c>
    </row>
    <row r="122" spans="2:16">
      <c r="B122" s="9" t="str">
        <f t="shared" si="25"/>
        <v/>
      </c>
      <c r="C122" s="157">
        <f>IF(D93="","-",+C121+1)</f>
        <v>2034</v>
      </c>
      <c r="D122" s="158">
        <f>IF(F121+SUM(E$99:E121)=D$92,F121,D$92-SUM(E$99:E121))</f>
        <v>729398.61999999988</v>
      </c>
      <c r="E122" s="165">
        <f>IF(+J96&lt;F121,J96,D122)</f>
        <v>30524</v>
      </c>
      <c r="F122" s="163">
        <f t="shared" si="26"/>
        <v>698874.61999999988</v>
      </c>
      <c r="G122" s="163">
        <f t="shared" si="27"/>
        <v>714136.61999999988</v>
      </c>
      <c r="H122" s="167">
        <f t="shared" si="28"/>
        <v>121114.03094312706</v>
      </c>
      <c r="I122" s="317">
        <f t="shared" si="29"/>
        <v>121114.03094312706</v>
      </c>
      <c r="J122" s="162">
        <f t="shared" si="19"/>
        <v>0</v>
      </c>
      <c r="K122" s="162"/>
      <c r="L122" s="335"/>
      <c r="M122" s="162">
        <f t="shared" si="21"/>
        <v>0</v>
      </c>
      <c r="N122" s="335"/>
      <c r="O122" s="162">
        <f t="shared" si="23"/>
        <v>0</v>
      </c>
      <c r="P122" s="162">
        <f t="shared" si="24"/>
        <v>0</v>
      </c>
    </row>
    <row r="123" spans="2:16">
      <c r="B123" s="9" t="str">
        <f t="shared" si="25"/>
        <v/>
      </c>
      <c r="C123" s="157">
        <f>IF(D93="","-",+C122+1)</f>
        <v>2035</v>
      </c>
      <c r="D123" s="158">
        <f>IF(F122+SUM(E$99:E122)=D$92,F122,D$92-SUM(E$99:E122))</f>
        <v>698874.61999999988</v>
      </c>
      <c r="E123" s="165">
        <f>IF(+J96&lt;F122,J96,D123)</f>
        <v>30524</v>
      </c>
      <c r="F123" s="163">
        <f t="shared" si="26"/>
        <v>668350.61999999988</v>
      </c>
      <c r="G123" s="163">
        <f t="shared" si="27"/>
        <v>683612.61999999988</v>
      </c>
      <c r="H123" s="167">
        <f t="shared" si="28"/>
        <v>117241.98457683371</v>
      </c>
      <c r="I123" s="317">
        <f t="shared" si="29"/>
        <v>117241.98457683371</v>
      </c>
      <c r="J123" s="162">
        <f t="shared" si="19"/>
        <v>0</v>
      </c>
      <c r="K123" s="162"/>
      <c r="L123" s="335"/>
      <c r="M123" s="162">
        <f t="shared" si="21"/>
        <v>0</v>
      </c>
      <c r="N123" s="335"/>
      <c r="O123" s="162">
        <f t="shared" si="23"/>
        <v>0</v>
      </c>
      <c r="P123" s="162">
        <f t="shared" si="24"/>
        <v>0</v>
      </c>
    </row>
    <row r="124" spans="2:16">
      <c r="B124" s="9" t="str">
        <f t="shared" si="25"/>
        <v/>
      </c>
      <c r="C124" s="157">
        <f>IF(D93="","-",+C123+1)</f>
        <v>2036</v>
      </c>
      <c r="D124" s="158">
        <f>IF(F123+SUM(E$99:E123)=D$92,F123,D$92-SUM(E$99:E123))</f>
        <v>668350.61999999988</v>
      </c>
      <c r="E124" s="165">
        <f>IF(+J96&lt;F123,J96,D124)</f>
        <v>30524</v>
      </c>
      <c r="F124" s="163">
        <f t="shared" si="26"/>
        <v>637826.61999999988</v>
      </c>
      <c r="G124" s="163">
        <f t="shared" si="27"/>
        <v>653088.61999999988</v>
      </c>
      <c r="H124" s="167">
        <f t="shared" si="28"/>
        <v>113369.93821054036</v>
      </c>
      <c r="I124" s="317">
        <f t="shared" si="29"/>
        <v>113369.93821054036</v>
      </c>
      <c r="J124" s="162">
        <f t="shared" si="19"/>
        <v>0</v>
      </c>
      <c r="K124" s="162"/>
      <c r="L124" s="335"/>
      <c r="M124" s="162">
        <f t="shared" si="21"/>
        <v>0</v>
      </c>
      <c r="N124" s="335"/>
      <c r="O124" s="162">
        <f t="shared" si="23"/>
        <v>0</v>
      </c>
      <c r="P124" s="162">
        <f t="shared" si="24"/>
        <v>0</v>
      </c>
    </row>
    <row r="125" spans="2:16">
      <c r="B125" s="9" t="str">
        <f t="shared" si="25"/>
        <v/>
      </c>
      <c r="C125" s="157">
        <f>IF(D93="","-",+C124+1)</f>
        <v>2037</v>
      </c>
      <c r="D125" s="158">
        <f>IF(F124+SUM(E$99:E124)=D$92,F124,D$92-SUM(E$99:E124))</f>
        <v>637826.61999999988</v>
      </c>
      <c r="E125" s="165">
        <f>IF(+J96&lt;F124,J96,D125)</f>
        <v>30524</v>
      </c>
      <c r="F125" s="163">
        <f t="shared" si="26"/>
        <v>607302.61999999988</v>
      </c>
      <c r="G125" s="163">
        <f t="shared" si="27"/>
        <v>622564.61999999988</v>
      </c>
      <c r="H125" s="167">
        <f t="shared" si="28"/>
        <v>109497.89184424702</v>
      </c>
      <c r="I125" s="317">
        <f t="shared" si="29"/>
        <v>109497.89184424702</v>
      </c>
      <c r="J125" s="162">
        <f t="shared" si="19"/>
        <v>0</v>
      </c>
      <c r="K125" s="162"/>
      <c r="L125" s="335"/>
      <c r="M125" s="162">
        <f t="shared" si="21"/>
        <v>0</v>
      </c>
      <c r="N125" s="335"/>
      <c r="O125" s="162">
        <f t="shared" si="23"/>
        <v>0</v>
      </c>
      <c r="P125" s="162">
        <f t="shared" si="24"/>
        <v>0</v>
      </c>
    </row>
    <row r="126" spans="2:16">
      <c r="B126" s="9" t="str">
        <f t="shared" si="25"/>
        <v/>
      </c>
      <c r="C126" s="157">
        <f>IF(D93="","-",+C125+1)</f>
        <v>2038</v>
      </c>
      <c r="D126" s="158">
        <f>IF(F125+SUM(E$99:E125)=D$92,F125,D$92-SUM(E$99:E125))</f>
        <v>607302.61999999988</v>
      </c>
      <c r="E126" s="165">
        <f>IF(+J96&lt;F125,J96,D126)</f>
        <v>30524</v>
      </c>
      <c r="F126" s="163">
        <f t="shared" si="26"/>
        <v>576778.61999999988</v>
      </c>
      <c r="G126" s="163">
        <f t="shared" si="27"/>
        <v>592040.61999999988</v>
      </c>
      <c r="H126" s="167">
        <f t="shared" si="28"/>
        <v>105625.84547795367</v>
      </c>
      <c r="I126" s="317">
        <f t="shared" si="29"/>
        <v>105625.84547795367</v>
      </c>
      <c r="J126" s="162">
        <f t="shared" si="19"/>
        <v>0</v>
      </c>
      <c r="K126" s="162"/>
      <c r="L126" s="335"/>
      <c r="M126" s="162">
        <f t="shared" si="21"/>
        <v>0</v>
      </c>
      <c r="N126" s="335"/>
      <c r="O126" s="162">
        <f t="shared" si="23"/>
        <v>0</v>
      </c>
      <c r="P126" s="162">
        <f t="shared" si="24"/>
        <v>0</v>
      </c>
    </row>
    <row r="127" spans="2:16">
      <c r="B127" s="9" t="str">
        <f t="shared" si="25"/>
        <v/>
      </c>
      <c r="C127" s="157">
        <f>IF(D93="","-",+C126+1)</f>
        <v>2039</v>
      </c>
      <c r="D127" s="158">
        <f>IF(F126+SUM(E$99:E126)=D$92,F126,D$92-SUM(E$99:E126))</f>
        <v>576778.61999999988</v>
      </c>
      <c r="E127" s="165">
        <f>IF(+J96&lt;F126,J96,D127)</f>
        <v>30524</v>
      </c>
      <c r="F127" s="163">
        <f t="shared" si="26"/>
        <v>546254.61999999988</v>
      </c>
      <c r="G127" s="163">
        <f t="shared" si="27"/>
        <v>561516.61999999988</v>
      </c>
      <c r="H127" s="167">
        <f t="shared" si="28"/>
        <v>101753.79911166034</v>
      </c>
      <c r="I127" s="317">
        <f t="shared" si="29"/>
        <v>101753.79911166034</v>
      </c>
      <c r="J127" s="162">
        <f t="shared" si="19"/>
        <v>0</v>
      </c>
      <c r="K127" s="162"/>
      <c r="L127" s="335"/>
      <c r="M127" s="162">
        <f t="shared" si="21"/>
        <v>0</v>
      </c>
      <c r="N127" s="335"/>
      <c r="O127" s="162">
        <f t="shared" si="23"/>
        <v>0</v>
      </c>
      <c r="P127" s="162">
        <f t="shared" si="24"/>
        <v>0</v>
      </c>
    </row>
    <row r="128" spans="2:16">
      <c r="B128" s="9" t="str">
        <f t="shared" si="25"/>
        <v/>
      </c>
      <c r="C128" s="157">
        <f>IF(D93="","-",+C127+1)</f>
        <v>2040</v>
      </c>
      <c r="D128" s="158">
        <f>IF(F127+SUM(E$99:E127)=D$92,F127,D$92-SUM(E$99:E127))</f>
        <v>546254.61999999988</v>
      </c>
      <c r="E128" s="165">
        <f>IF(+J96&lt;F127,J96,D128)</f>
        <v>30524</v>
      </c>
      <c r="F128" s="163">
        <f t="shared" si="26"/>
        <v>515730.61999999988</v>
      </c>
      <c r="G128" s="163">
        <f t="shared" si="27"/>
        <v>530992.61999999988</v>
      </c>
      <c r="H128" s="167">
        <f t="shared" si="28"/>
        <v>97881.75274536699</v>
      </c>
      <c r="I128" s="317">
        <f t="shared" si="29"/>
        <v>97881.75274536699</v>
      </c>
      <c r="J128" s="162">
        <f t="shared" si="19"/>
        <v>0</v>
      </c>
      <c r="K128" s="162"/>
      <c r="L128" s="335"/>
      <c r="M128" s="162">
        <f t="shared" si="21"/>
        <v>0</v>
      </c>
      <c r="N128" s="335"/>
      <c r="O128" s="162">
        <f t="shared" si="23"/>
        <v>0</v>
      </c>
      <c r="P128" s="162">
        <f t="shared" si="24"/>
        <v>0</v>
      </c>
    </row>
    <row r="129" spans="2:16">
      <c r="B129" s="9" t="str">
        <f t="shared" si="25"/>
        <v/>
      </c>
      <c r="C129" s="157">
        <f>IF(D93="","-",+C128+1)</f>
        <v>2041</v>
      </c>
      <c r="D129" s="158">
        <f>IF(F128+SUM(E$99:E128)=D$92,F128,D$92-SUM(E$99:E128))</f>
        <v>515730.61999999988</v>
      </c>
      <c r="E129" s="165">
        <f t="shared" ref="E129:E154" si="30">IF(+J$96&lt;F128,J$96,D129)</f>
        <v>30524</v>
      </c>
      <c r="F129" s="163">
        <f t="shared" si="26"/>
        <v>485206.61999999988</v>
      </c>
      <c r="G129" s="163">
        <f t="shared" si="27"/>
        <v>500468.61999999988</v>
      </c>
      <c r="H129" s="167">
        <f t="shared" si="28"/>
        <v>94009.706379073643</v>
      </c>
      <c r="I129" s="317">
        <f t="shared" si="29"/>
        <v>94009.706379073643</v>
      </c>
      <c r="J129" s="162">
        <f t="shared" si="19"/>
        <v>0</v>
      </c>
      <c r="K129" s="162"/>
      <c r="L129" s="335"/>
      <c r="M129" s="162">
        <f t="shared" si="21"/>
        <v>0</v>
      </c>
      <c r="N129" s="335"/>
      <c r="O129" s="162">
        <f t="shared" si="23"/>
        <v>0</v>
      </c>
      <c r="P129" s="162">
        <f t="shared" si="24"/>
        <v>0</v>
      </c>
    </row>
    <row r="130" spans="2:16">
      <c r="B130" s="9" t="str">
        <f t="shared" si="25"/>
        <v/>
      </c>
      <c r="C130" s="157">
        <f>IF(D93="","-",+C129+1)</f>
        <v>2042</v>
      </c>
      <c r="D130" s="158">
        <f>IF(F129+SUM(E$99:E129)=D$92,F129,D$92-SUM(E$99:E129))</f>
        <v>485206.61999999988</v>
      </c>
      <c r="E130" s="165">
        <f t="shared" si="30"/>
        <v>30524</v>
      </c>
      <c r="F130" s="163">
        <f t="shared" si="26"/>
        <v>454682.61999999988</v>
      </c>
      <c r="G130" s="163">
        <f t="shared" si="27"/>
        <v>469944.61999999988</v>
      </c>
      <c r="H130" s="167">
        <f t="shared" si="28"/>
        <v>90137.66001278031</v>
      </c>
      <c r="I130" s="317">
        <f t="shared" si="29"/>
        <v>90137.66001278031</v>
      </c>
      <c r="J130" s="162">
        <f t="shared" si="19"/>
        <v>0</v>
      </c>
      <c r="K130" s="162"/>
      <c r="L130" s="335"/>
      <c r="M130" s="162">
        <f t="shared" si="21"/>
        <v>0</v>
      </c>
      <c r="N130" s="335"/>
      <c r="O130" s="162">
        <f t="shared" si="23"/>
        <v>0</v>
      </c>
      <c r="P130" s="162">
        <f t="shared" si="24"/>
        <v>0</v>
      </c>
    </row>
    <row r="131" spans="2:16">
      <c r="B131" s="9" t="str">
        <f t="shared" si="25"/>
        <v/>
      </c>
      <c r="C131" s="157">
        <f>IF(D93="","-",+C130+1)</f>
        <v>2043</v>
      </c>
      <c r="D131" s="158">
        <f>IF(F130+SUM(E$99:E130)=D$92,F130,D$92-SUM(E$99:E130))</f>
        <v>454682.61999999988</v>
      </c>
      <c r="E131" s="165">
        <f t="shared" si="30"/>
        <v>30524</v>
      </c>
      <c r="F131" s="163">
        <f t="shared" ref="F131:F154" si="31">+D131-E131</f>
        <v>424158.61999999988</v>
      </c>
      <c r="G131" s="163">
        <f t="shared" ref="G131:G154" si="32">+(F131+D131)/2</f>
        <v>439420.61999999988</v>
      </c>
      <c r="H131" s="167">
        <f t="shared" ref="H131:H154" si="33">+J$94*G131+E131</f>
        <v>86265.613646486949</v>
      </c>
      <c r="I131" s="317">
        <f t="shared" ref="I131:I154" si="34">+J$95*G131+E131</f>
        <v>86265.613646486949</v>
      </c>
      <c r="J131" s="162">
        <f t="shared" ref="J131:J154" si="35">+I541-H541</f>
        <v>0</v>
      </c>
      <c r="K131" s="162"/>
      <c r="L131" s="335"/>
      <c r="M131" s="162">
        <f t="shared" ref="M131:M154" si="36">IF(L541&lt;&gt;0,+H541-L541,0)</f>
        <v>0</v>
      </c>
      <c r="N131" s="335"/>
      <c r="O131" s="162">
        <f t="shared" ref="O131:O154" si="37">IF(N541&lt;&gt;0,+I541-N541,0)</f>
        <v>0</v>
      </c>
      <c r="P131" s="162">
        <f t="shared" ref="P131:P154" si="38">+O541-M541</f>
        <v>0</v>
      </c>
    </row>
    <row r="132" spans="2:16">
      <c r="B132" s="9" t="str">
        <f t="shared" ref="B132:B154" si="39">IF(D132=F131,"","IU")</f>
        <v/>
      </c>
      <c r="C132" s="157">
        <f>IF(D93="","-",+C131+1)</f>
        <v>2044</v>
      </c>
      <c r="D132" s="158">
        <f>IF(F131+SUM(E$99:E131)=D$92,F131,D$92-SUM(E$99:E131))</f>
        <v>424158.61999999988</v>
      </c>
      <c r="E132" s="165">
        <f t="shared" si="30"/>
        <v>30524</v>
      </c>
      <c r="F132" s="163">
        <f t="shared" si="31"/>
        <v>393634.61999999988</v>
      </c>
      <c r="G132" s="163">
        <f t="shared" si="32"/>
        <v>408896.61999999988</v>
      </c>
      <c r="H132" s="167">
        <f t="shared" si="33"/>
        <v>82393.567280193616</v>
      </c>
      <c r="I132" s="317">
        <f t="shared" si="34"/>
        <v>82393.567280193616</v>
      </c>
      <c r="J132" s="162">
        <f t="shared" si="35"/>
        <v>0</v>
      </c>
      <c r="K132" s="162"/>
      <c r="L132" s="335"/>
      <c r="M132" s="162">
        <f t="shared" si="36"/>
        <v>0</v>
      </c>
      <c r="N132" s="335"/>
      <c r="O132" s="162">
        <f t="shared" si="37"/>
        <v>0</v>
      </c>
      <c r="P132" s="162">
        <f t="shared" si="38"/>
        <v>0</v>
      </c>
    </row>
    <row r="133" spans="2:16">
      <c r="B133" s="9" t="str">
        <f t="shared" si="39"/>
        <v/>
      </c>
      <c r="C133" s="157">
        <f>IF(D93="","-",+C132+1)</f>
        <v>2045</v>
      </c>
      <c r="D133" s="158">
        <f>IF(F132+SUM(E$99:E132)=D$92,F132,D$92-SUM(E$99:E132))</f>
        <v>393634.61999999988</v>
      </c>
      <c r="E133" s="165">
        <f t="shared" si="30"/>
        <v>30524</v>
      </c>
      <c r="F133" s="163">
        <f t="shared" si="31"/>
        <v>363110.61999999988</v>
      </c>
      <c r="G133" s="163">
        <f t="shared" si="32"/>
        <v>378372.61999999988</v>
      </c>
      <c r="H133" s="167">
        <f t="shared" si="33"/>
        <v>78521.520913900269</v>
      </c>
      <c r="I133" s="317">
        <f t="shared" si="34"/>
        <v>78521.520913900269</v>
      </c>
      <c r="J133" s="162">
        <f t="shared" si="35"/>
        <v>0</v>
      </c>
      <c r="K133" s="162"/>
      <c r="L133" s="335"/>
      <c r="M133" s="162">
        <f t="shared" si="36"/>
        <v>0</v>
      </c>
      <c r="N133" s="335"/>
      <c r="O133" s="162">
        <f t="shared" si="37"/>
        <v>0</v>
      </c>
      <c r="P133" s="162">
        <f t="shared" si="38"/>
        <v>0</v>
      </c>
    </row>
    <row r="134" spans="2:16">
      <c r="B134" s="9" t="str">
        <f t="shared" si="39"/>
        <v/>
      </c>
      <c r="C134" s="157">
        <f>IF(D93="","-",+C133+1)</f>
        <v>2046</v>
      </c>
      <c r="D134" s="158">
        <f>IF(F133+SUM(E$99:E133)=D$92,F133,D$92-SUM(E$99:E133))</f>
        <v>363110.61999999988</v>
      </c>
      <c r="E134" s="165">
        <f t="shared" si="30"/>
        <v>30524</v>
      </c>
      <c r="F134" s="163">
        <f t="shared" si="31"/>
        <v>332586.61999999988</v>
      </c>
      <c r="G134" s="163">
        <f t="shared" si="32"/>
        <v>347848.61999999988</v>
      </c>
      <c r="H134" s="167">
        <f t="shared" si="33"/>
        <v>74649.474547606922</v>
      </c>
      <c r="I134" s="317">
        <f t="shared" si="34"/>
        <v>74649.474547606922</v>
      </c>
      <c r="J134" s="162">
        <f t="shared" si="35"/>
        <v>0</v>
      </c>
      <c r="K134" s="162"/>
      <c r="L134" s="335"/>
      <c r="M134" s="162">
        <f t="shared" si="36"/>
        <v>0</v>
      </c>
      <c r="N134" s="335"/>
      <c r="O134" s="162">
        <f t="shared" si="37"/>
        <v>0</v>
      </c>
      <c r="P134" s="162">
        <f t="shared" si="38"/>
        <v>0</v>
      </c>
    </row>
    <row r="135" spans="2:16">
      <c r="B135" s="9" t="str">
        <f t="shared" si="39"/>
        <v/>
      </c>
      <c r="C135" s="157">
        <f>IF(D93="","-",+C134+1)</f>
        <v>2047</v>
      </c>
      <c r="D135" s="158">
        <f>IF(F134+SUM(E$99:E134)=D$92,F134,D$92-SUM(E$99:E134))</f>
        <v>332586.61999999988</v>
      </c>
      <c r="E135" s="165">
        <f t="shared" si="30"/>
        <v>30524</v>
      </c>
      <c r="F135" s="163">
        <f t="shared" si="31"/>
        <v>302062.61999999988</v>
      </c>
      <c r="G135" s="163">
        <f t="shared" si="32"/>
        <v>317324.61999999988</v>
      </c>
      <c r="H135" s="167">
        <f t="shared" si="33"/>
        <v>70777.428181313589</v>
      </c>
      <c r="I135" s="317">
        <f t="shared" si="34"/>
        <v>70777.428181313589</v>
      </c>
      <c r="J135" s="162">
        <f t="shared" si="35"/>
        <v>0</v>
      </c>
      <c r="K135" s="162"/>
      <c r="L135" s="335"/>
      <c r="M135" s="162">
        <f t="shared" si="36"/>
        <v>0</v>
      </c>
      <c r="N135" s="335"/>
      <c r="O135" s="162">
        <f t="shared" si="37"/>
        <v>0</v>
      </c>
      <c r="P135" s="162">
        <f t="shared" si="38"/>
        <v>0</v>
      </c>
    </row>
    <row r="136" spans="2:16">
      <c r="B136" s="9" t="str">
        <f t="shared" si="39"/>
        <v/>
      </c>
      <c r="C136" s="157">
        <f>IF(D93="","-",+C135+1)</f>
        <v>2048</v>
      </c>
      <c r="D136" s="158">
        <f>IF(F135+SUM(E$99:E135)=D$92,F135,D$92-SUM(E$99:E135))</f>
        <v>302062.61999999988</v>
      </c>
      <c r="E136" s="165">
        <f t="shared" si="30"/>
        <v>30524</v>
      </c>
      <c r="F136" s="163">
        <f t="shared" si="31"/>
        <v>271538.61999999988</v>
      </c>
      <c r="G136" s="163">
        <f t="shared" si="32"/>
        <v>286800.61999999988</v>
      </c>
      <c r="H136" s="167">
        <f t="shared" si="33"/>
        <v>66905.381815020228</v>
      </c>
      <c r="I136" s="317">
        <f t="shared" si="34"/>
        <v>66905.381815020228</v>
      </c>
      <c r="J136" s="162">
        <f t="shared" si="35"/>
        <v>0</v>
      </c>
      <c r="K136" s="162"/>
      <c r="L136" s="335"/>
      <c r="M136" s="162">
        <f t="shared" si="36"/>
        <v>0</v>
      </c>
      <c r="N136" s="335"/>
      <c r="O136" s="162">
        <f t="shared" si="37"/>
        <v>0</v>
      </c>
      <c r="P136" s="162">
        <f t="shared" si="38"/>
        <v>0</v>
      </c>
    </row>
    <row r="137" spans="2:16">
      <c r="B137" s="9" t="str">
        <f t="shared" si="39"/>
        <v/>
      </c>
      <c r="C137" s="157">
        <f>IF(D93="","-",+C136+1)</f>
        <v>2049</v>
      </c>
      <c r="D137" s="158">
        <f>IF(F136+SUM(E$99:E136)=D$92,F136,D$92-SUM(E$99:E136))</f>
        <v>271538.61999999988</v>
      </c>
      <c r="E137" s="165">
        <f t="shared" si="30"/>
        <v>30524</v>
      </c>
      <c r="F137" s="163">
        <f t="shared" si="31"/>
        <v>241014.61999999988</v>
      </c>
      <c r="G137" s="163">
        <f t="shared" si="32"/>
        <v>256276.61999999988</v>
      </c>
      <c r="H137" s="167">
        <f t="shared" si="33"/>
        <v>63033.335448726895</v>
      </c>
      <c r="I137" s="317">
        <f t="shared" si="34"/>
        <v>63033.335448726895</v>
      </c>
      <c r="J137" s="162">
        <f t="shared" si="35"/>
        <v>0</v>
      </c>
      <c r="K137" s="162"/>
      <c r="L137" s="335"/>
      <c r="M137" s="162">
        <f t="shared" si="36"/>
        <v>0</v>
      </c>
      <c r="N137" s="335"/>
      <c r="O137" s="162">
        <f t="shared" si="37"/>
        <v>0</v>
      </c>
      <c r="P137" s="162">
        <f t="shared" si="38"/>
        <v>0</v>
      </c>
    </row>
    <row r="138" spans="2:16">
      <c r="B138" s="9" t="str">
        <f t="shared" si="39"/>
        <v/>
      </c>
      <c r="C138" s="157">
        <f>IF(D93="","-",+C137+1)</f>
        <v>2050</v>
      </c>
      <c r="D138" s="158">
        <f>IF(F137+SUM(E$99:E137)=D$92,F137,D$92-SUM(E$99:E137))</f>
        <v>241014.61999999988</v>
      </c>
      <c r="E138" s="165">
        <f t="shared" si="30"/>
        <v>30524</v>
      </c>
      <c r="F138" s="163">
        <f t="shared" si="31"/>
        <v>210490.61999999988</v>
      </c>
      <c r="G138" s="163">
        <f t="shared" si="32"/>
        <v>225752.61999999988</v>
      </c>
      <c r="H138" s="167">
        <f t="shared" si="33"/>
        <v>59161.289082433548</v>
      </c>
      <c r="I138" s="317">
        <f t="shared" si="34"/>
        <v>59161.289082433548</v>
      </c>
      <c r="J138" s="162">
        <f t="shared" si="35"/>
        <v>0</v>
      </c>
      <c r="K138" s="162"/>
      <c r="L138" s="335"/>
      <c r="M138" s="162">
        <f t="shared" si="36"/>
        <v>0</v>
      </c>
      <c r="N138" s="335"/>
      <c r="O138" s="162">
        <f t="shared" si="37"/>
        <v>0</v>
      </c>
      <c r="P138" s="162">
        <f t="shared" si="38"/>
        <v>0</v>
      </c>
    </row>
    <row r="139" spans="2:16">
      <c r="B139" s="9" t="str">
        <f t="shared" si="39"/>
        <v/>
      </c>
      <c r="C139" s="157">
        <f>IF(D93="","-",+C138+1)</f>
        <v>2051</v>
      </c>
      <c r="D139" s="158">
        <f>IF(F138+SUM(E$99:E138)=D$92,F138,D$92-SUM(E$99:E138))</f>
        <v>210490.61999999988</v>
      </c>
      <c r="E139" s="165">
        <f t="shared" si="30"/>
        <v>30524</v>
      </c>
      <c r="F139" s="163">
        <f t="shared" si="31"/>
        <v>179966.61999999988</v>
      </c>
      <c r="G139" s="163">
        <f t="shared" si="32"/>
        <v>195228.61999999988</v>
      </c>
      <c r="H139" s="167">
        <f t="shared" si="33"/>
        <v>55289.242716140201</v>
      </c>
      <c r="I139" s="317">
        <f t="shared" si="34"/>
        <v>55289.242716140201</v>
      </c>
      <c r="J139" s="162">
        <f t="shared" si="35"/>
        <v>0</v>
      </c>
      <c r="K139" s="162"/>
      <c r="L139" s="335"/>
      <c r="M139" s="162">
        <f t="shared" si="36"/>
        <v>0</v>
      </c>
      <c r="N139" s="335"/>
      <c r="O139" s="162">
        <f t="shared" si="37"/>
        <v>0</v>
      </c>
      <c r="P139" s="162">
        <f t="shared" si="38"/>
        <v>0</v>
      </c>
    </row>
    <row r="140" spans="2:16">
      <c r="B140" s="9" t="str">
        <f t="shared" si="39"/>
        <v/>
      </c>
      <c r="C140" s="157">
        <f>IF(D93="","-",+C139+1)</f>
        <v>2052</v>
      </c>
      <c r="D140" s="158">
        <f>IF(F139+SUM(E$99:E139)=D$92,F139,D$92-SUM(E$99:E139))</f>
        <v>179966.61999999988</v>
      </c>
      <c r="E140" s="165">
        <f t="shared" si="30"/>
        <v>30524</v>
      </c>
      <c r="F140" s="163">
        <f t="shared" si="31"/>
        <v>149442.61999999988</v>
      </c>
      <c r="G140" s="163">
        <f t="shared" si="32"/>
        <v>164704.61999999988</v>
      </c>
      <c r="H140" s="167">
        <f t="shared" si="33"/>
        <v>51417.196349846861</v>
      </c>
      <c r="I140" s="317">
        <f t="shared" si="34"/>
        <v>51417.196349846861</v>
      </c>
      <c r="J140" s="162">
        <f t="shared" si="35"/>
        <v>0</v>
      </c>
      <c r="K140" s="162"/>
      <c r="L140" s="335"/>
      <c r="M140" s="162">
        <f t="shared" si="36"/>
        <v>0</v>
      </c>
      <c r="N140" s="335"/>
      <c r="O140" s="162">
        <f t="shared" si="37"/>
        <v>0</v>
      </c>
      <c r="P140" s="162">
        <f t="shared" si="38"/>
        <v>0</v>
      </c>
    </row>
    <row r="141" spans="2:16">
      <c r="B141" s="9" t="str">
        <f t="shared" si="39"/>
        <v/>
      </c>
      <c r="C141" s="157">
        <f>IF(D93="","-",+C140+1)</f>
        <v>2053</v>
      </c>
      <c r="D141" s="158">
        <f>IF(F140+SUM(E$99:E140)=D$92,F140,D$92-SUM(E$99:E140))</f>
        <v>149442.61999999988</v>
      </c>
      <c r="E141" s="165">
        <f t="shared" si="30"/>
        <v>30524</v>
      </c>
      <c r="F141" s="163">
        <f t="shared" si="31"/>
        <v>118918.61999999988</v>
      </c>
      <c r="G141" s="163">
        <f t="shared" si="32"/>
        <v>134180.61999999988</v>
      </c>
      <c r="H141" s="167">
        <f t="shared" si="33"/>
        <v>47545.149983553521</v>
      </c>
      <c r="I141" s="317">
        <f t="shared" si="34"/>
        <v>47545.149983553521</v>
      </c>
      <c r="J141" s="162">
        <f t="shared" si="35"/>
        <v>0</v>
      </c>
      <c r="K141" s="162"/>
      <c r="L141" s="335"/>
      <c r="M141" s="162">
        <f t="shared" si="36"/>
        <v>0</v>
      </c>
      <c r="N141" s="335"/>
      <c r="O141" s="162">
        <f t="shared" si="37"/>
        <v>0</v>
      </c>
      <c r="P141" s="162">
        <f t="shared" si="38"/>
        <v>0</v>
      </c>
    </row>
    <row r="142" spans="2:16">
      <c r="B142" s="9" t="str">
        <f t="shared" si="39"/>
        <v/>
      </c>
      <c r="C142" s="157">
        <f>IF(D93="","-",+C141+1)</f>
        <v>2054</v>
      </c>
      <c r="D142" s="158">
        <f>IF(F141+SUM(E$99:E141)=D$92,F141,D$92-SUM(E$99:E141))</f>
        <v>118918.61999999988</v>
      </c>
      <c r="E142" s="165">
        <f t="shared" si="30"/>
        <v>30524</v>
      </c>
      <c r="F142" s="163">
        <f t="shared" si="31"/>
        <v>88394.619999999879</v>
      </c>
      <c r="G142" s="163">
        <f t="shared" si="32"/>
        <v>103656.61999999988</v>
      </c>
      <c r="H142" s="167">
        <f t="shared" si="33"/>
        <v>43673.103617260174</v>
      </c>
      <c r="I142" s="317">
        <f t="shared" si="34"/>
        <v>43673.103617260174</v>
      </c>
      <c r="J142" s="162">
        <f t="shared" si="35"/>
        <v>0</v>
      </c>
      <c r="K142" s="162"/>
      <c r="L142" s="335"/>
      <c r="M142" s="162">
        <f t="shared" si="36"/>
        <v>0</v>
      </c>
      <c r="N142" s="335"/>
      <c r="O142" s="162">
        <f t="shared" si="37"/>
        <v>0</v>
      </c>
      <c r="P142" s="162">
        <f t="shared" si="38"/>
        <v>0</v>
      </c>
    </row>
    <row r="143" spans="2:16">
      <c r="B143" s="9" t="str">
        <f t="shared" si="39"/>
        <v/>
      </c>
      <c r="C143" s="157">
        <f>IF(D93="","-",+C142+1)</f>
        <v>2055</v>
      </c>
      <c r="D143" s="158">
        <f>IF(F142+SUM(E$99:E142)=D$92,F142,D$92-SUM(E$99:E142))</f>
        <v>88394.619999999879</v>
      </c>
      <c r="E143" s="165">
        <f t="shared" si="30"/>
        <v>30524</v>
      </c>
      <c r="F143" s="163">
        <f t="shared" si="31"/>
        <v>57870.619999999879</v>
      </c>
      <c r="G143" s="163">
        <f t="shared" si="32"/>
        <v>73132.619999999879</v>
      </c>
      <c r="H143" s="167">
        <f t="shared" si="33"/>
        <v>39801.057250966827</v>
      </c>
      <c r="I143" s="317">
        <f t="shared" si="34"/>
        <v>39801.057250966827</v>
      </c>
      <c r="J143" s="162">
        <f t="shared" si="35"/>
        <v>0</v>
      </c>
      <c r="K143" s="162"/>
      <c r="L143" s="335"/>
      <c r="M143" s="162">
        <f t="shared" si="36"/>
        <v>0</v>
      </c>
      <c r="N143" s="335"/>
      <c r="O143" s="162">
        <f t="shared" si="37"/>
        <v>0</v>
      </c>
      <c r="P143" s="162">
        <f t="shared" si="38"/>
        <v>0</v>
      </c>
    </row>
    <row r="144" spans="2:16">
      <c r="B144" s="9" t="str">
        <f t="shared" si="39"/>
        <v/>
      </c>
      <c r="C144" s="157">
        <f>IF(D93="","-",+C143+1)</f>
        <v>2056</v>
      </c>
      <c r="D144" s="158">
        <f>IF(F143+SUM(E$99:E143)=D$92,F143,D$92-SUM(E$99:E143))</f>
        <v>57870.619999999879</v>
      </c>
      <c r="E144" s="165">
        <f t="shared" si="30"/>
        <v>30524</v>
      </c>
      <c r="F144" s="163">
        <f t="shared" si="31"/>
        <v>27346.619999999879</v>
      </c>
      <c r="G144" s="163">
        <f t="shared" si="32"/>
        <v>42608.619999999879</v>
      </c>
      <c r="H144" s="167">
        <f t="shared" si="33"/>
        <v>35929.010884673487</v>
      </c>
      <c r="I144" s="317">
        <f t="shared" si="34"/>
        <v>35929.010884673487</v>
      </c>
      <c r="J144" s="162">
        <f t="shared" si="35"/>
        <v>0</v>
      </c>
      <c r="K144" s="162"/>
      <c r="L144" s="335"/>
      <c r="M144" s="162">
        <f t="shared" si="36"/>
        <v>0</v>
      </c>
      <c r="N144" s="335"/>
      <c r="O144" s="162">
        <f t="shared" si="37"/>
        <v>0</v>
      </c>
      <c r="P144" s="162">
        <f t="shared" si="38"/>
        <v>0</v>
      </c>
    </row>
    <row r="145" spans="2:16">
      <c r="B145" s="9" t="str">
        <f t="shared" si="39"/>
        <v/>
      </c>
      <c r="C145" s="157">
        <f>IF(D93="","-",+C144+1)</f>
        <v>2057</v>
      </c>
      <c r="D145" s="158">
        <f>IF(F144+SUM(E$99:E144)=D$92,F144,D$92-SUM(E$99:E144))</f>
        <v>27346.619999999879</v>
      </c>
      <c r="E145" s="165">
        <f t="shared" si="30"/>
        <v>27346.619999999879</v>
      </c>
      <c r="F145" s="163">
        <f t="shared" si="31"/>
        <v>0</v>
      </c>
      <c r="G145" s="163">
        <f t="shared" si="32"/>
        <v>13673.309999999939</v>
      </c>
      <c r="H145" s="167">
        <f t="shared" si="33"/>
        <v>29081.113850763286</v>
      </c>
      <c r="I145" s="317">
        <f t="shared" si="34"/>
        <v>29081.113850763286</v>
      </c>
      <c r="J145" s="162">
        <f t="shared" si="35"/>
        <v>0</v>
      </c>
      <c r="K145" s="162"/>
      <c r="L145" s="335"/>
      <c r="M145" s="162">
        <f t="shared" si="36"/>
        <v>0</v>
      </c>
      <c r="N145" s="335"/>
      <c r="O145" s="162">
        <f t="shared" si="37"/>
        <v>0</v>
      </c>
      <c r="P145" s="162">
        <f t="shared" si="38"/>
        <v>0</v>
      </c>
    </row>
    <row r="146" spans="2:16">
      <c r="B146" s="9" t="str">
        <f t="shared" si="39"/>
        <v/>
      </c>
      <c r="C146" s="157">
        <f>IF(D93="","-",+C145+1)</f>
        <v>2058</v>
      </c>
      <c r="D146" s="158">
        <f>IF(F145+SUM(E$99:E145)=D$92,F145,D$92-SUM(E$99:E145))</f>
        <v>0</v>
      </c>
      <c r="E146" s="165">
        <f t="shared" si="30"/>
        <v>0</v>
      </c>
      <c r="F146" s="163">
        <f t="shared" si="31"/>
        <v>0</v>
      </c>
      <c r="G146" s="163">
        <f t="shared" si="32"/>
        <v>0</v>
      </c>
      <c r="H146" s="167">
        <f t="shared" si="33"/>
        <v>0</v>
      </c>
      <c r="I146" s="317">
        <f t="shared" si="34"/>
        <v>0</v>
      </c>
      <c r="J146" s="162">
        <f t="shared" si="35"/>
        <v>0</v>
      </c>
      <c r="K146" s="162"/>
      <c r="L146" s="335"/>
      <c r="M146" s="162">
        <f t="shared" si="36"/>
        <v>0</v>
      </c>
      <c r="N146" s="335"/>
      <c r="O146" s="162">
        <f t="shared" si="37"/>
        <v>0</v>
      </c>
      <c r="P146" s="162">
        <f t="shared" si="38"/>
        <v>0</v>
      </c>
    </row>
    <row r="147" spans="2:16">
      <c r="B147" s="9" t="str">
        <f t="shared" si="39"/>
        <v/>
      </c>
      <c r="C147" s="157">
        <f>IF(D93="","-",+C146+1)</f>
        <v>2059</v>
      </c>
      <c r="D147" s="158">
        <f>IF(F146+SUM(E$99:E146)=D$92,F146,D$92-SUM(E$99:E146))</f>
        <v>0</v>
      </c>
      <c r="E147" s="165">
        <f t="shared" si="30"/>
        <v>0</v>
      </c>
      <c r="F147" s="163">
        <f t="shared" si="31"/>
        <v>0</v>
      </c>
      <c r="G147" s="163">
        <f t="shared" si="32"/>
        <v>0</v>
      </c>
      <c r="H147" s="167">
        <f t="shared" si="33"/>
        <v>0</v>
      </c>
      <c r="I147" s="317">
        <f t="shared" si="34"/>
        <v>0</v>
      </c>
      <c r="J147" s="162">
        <f t="shared" si="35"/>
        <v>0</v>
      </c>
      <c r="K147" s="162"/>
      <c r="L147" s="335"/>
      <c r="M147" s="162">
        <f t="shared" si="36"/>
        <v>0</v>
      </c>
      <c r="N147" s="335"/>
      <c r="O147" s="162">
        <f t="shared" si="37"/>
        <v>0</v>
      </c>
      <c r="P147" s="162">
        <f t="shared" si="38"/>
        <v>0</v>
      </c>
    </row>
    <row r="148" spans="2:16">
      <c r="B148" s="9" t="str">
        <f t="shared" si="39"/>
        <v/>
      </c>
      <c r="C148" s="157">
        <f>IF(D93="","-",+C147+1)</f>
        <v>2060</v>
      </c>
      <c r="D148" s="158">
        <f>IF(F147+SUM(E$99:E147)=D$92,F147,D$92-SUM(E$99:E147))</f>
        <v>0</v>
      </c>
      <c r="E148" s="165">
        <f t="shared" si="30"/>
        <v>0</v>
      </c>
      <c r="F148" s="163">
        <f t="shared" si="31"/>
        <v>0</v>
      </c>
      <c r="G148" s="163">
        <f t="shared" si="32"/>
        <v>0</v>
      </c>
      <c r="H148" s="167">
        <f t="shared" si="33"/>
        <v>0</v>
      </c>
      <c r="I148" s="317">
        <f t="shared" si="34"/>
        <v>0</v>
      </c>
      <c r="J148" s="162">
        <f t="shared" si="35"/>
        <v>0</v>
      </c>
      <c r="K148" s="162"/>
      <c r="L148" s="335"/>
      <c r="M148" s="162">
        <f t="shared" si="36"/>
        <v>0</v>
      </c>
      <c r="N148" s="335"/>
      <c r="O148" s="162">
        <f t="shared" si="37"/>
        <v>0</v>
      </c>
      <c r="P148" s="162">
        <f t="shared" si="38"/>
        <v>0</v>
      </c>
    </row>
    <row r="149" spans="2:16">
      <c r="B149" s="9" t="str">
        <f t="shared" si="39"/>
        <v/>
      </c>
      <c r="C149" s="157">
        <f>IF(D93="","-",+C148+1)</f>
        <v>2061</v>
      </c>
      <c r="D149" s="158">
        <f>IF(F148+SUM(E$99:E148)=D$92,F148,D$92-SUM(E$99:E148))</f>
        <v>0</v>
      </c>
      <c r="E149" s="165">
        <f t="shared" si="30"/>
        <v>0</v>
      </c>
      <c r="F149" s="163">
        <f t="shared" si="31"/>
        <v>0</v>
      </c>
      <c r="G149" s="163">
        <f t="shared" si="32"/>
        <v>0</v>
      </c>
      <c r="H149" s="167">
        <f t="shared" si="33"/>
        <v>0</v>
      </c>
      <c r="I149" s="317">
        <f t="shared" si="34"/>
        <v>0</v>
      </c>
      <c r="J149" s="162">
        <f t="shared" si="35"/>
        <v>0</v>
      </c>
      <c r="K149" s="162"/>
      <c r="L149" s="335"/>
      <c r="M149" s="162">
        <f t="shared" si="36"/>
        <v>0</v>
      </c>
      <c r="N149" s="335"/>
      <c r="O149" s="162">
        <f t="shared" si="37"/>
        <v>0</v>
      </c>
      <c r="P149" s="162">
        <f t="shared" si="38"/>
        <v>0</v>
      </c>
    </row>
    <row r="150" spans="2:16">
      <c r="B150" s="9" t="str">
        <f t="shared" si="39"/>
        <v/>
      </c>
      <c r="C150" s="157">
        <f>IF(D93="","-",+C149+1)</f>
        <v>2062</v>
      </c>
      <c r="D150" s="158">
        <f>IF(F149+SUM(E$99:E149)=D$92,F149,D$92-SUM(E$99:E149))</f>
        <v>0</v>
      </c>
      <c r="E150" s="165">
        <f t="shared" si="30"/>
        <v>0</v>
      </c>
      <c r="F150" s="163">
        <f t="shared" si="31"/>
        <v>0</v>
      </c>
      <c r="G150" s="163">
        <f t="shared" si="32"/>
        <v>0</v>
      </c>
      <c r="H150" s="167">
        <f t="shared" si="33"/>
        <v>0</v>
      </c>
      <c r="I150" s="317">
        <f t="shared" si="34"/>
        <v>0</v>
      </c>
      <c r="J150" s="162">
        <f t="shared" si="35"/>
        <v>0</v>
      </c>
      <c r="K150" s="162"/>
      <c r="L150" s="335"/>
      <c r="M150" s="162">
        <f t="shared" si="36"/>
        <v>0</v>
      </c>
      <c r="N150" s="335"/>
      <c r="O150" s="162">
        <f t="shared" si="37"/>
        <v>0</v>
      </c>
      <c r="P150" s="162">
        <f t="shared" si="38"/>
        <v>0</v>
      </c>
    </row>
    <row r="151" spans="2:16">
      <c r="B151" s="9" t="str">
        <f t="shared" si="39"/>
        <v/>
      </c>
      <c r="C151" s="157">
        <f>IF(D93="","-",+C150+1)</f>
        <v>2063</v>
      </c>
      <c r="D151" s="158">
        <f>IF(F150+SUM(E$99:E150)=D$92,F150,D$92-SUM(E$99:E150))</f>
        <v>0</v>
      </c>
      <c r="E151" s="165">
        <f t="shared" si="30"/>
        <v>0</v>
      </c>
      <c r="F151" s="163">
        <f t="shared" si="31"/>
        <v>0</v>
      </c>
      <c r="G151" s="163">
        <f t="shared" si="32"/>
        <v>0</v>
      </c>
      <c r="H151" s="167">
        <f t="shared" si="33"/>
        <v>0</v>
      </c>
      <c r="I151" s="317">
        <f t="shared" si="34"/>
        <v>0</v>
      </c>
      <c r="J151" s="162">
        <f t="shared" si="35"/>
        <v>0</v>
      </c>
      <c r="K151" s="162"/>
      <c r="L151" s="335"/>
      <c r="M151" s="162">
        <f t="shared" si="36"/>
        <v>0</v>
      </c>
      <c r="N151" s="335"/>
      <c r="O151" s="162">
        <f t="shared" si="37"/>
        <v>0</v>
      </c>
      <c r="P151" s="162">
        <f t="shared" si="38"/>
        <v>0</v>
      </c>
    </row>
    <row r="152" spans="2:16">
      <c r="B152" s="9" t="str">
        <f t="shared" si="39"/>
        <v/>
      </c>
      <c r="C152" s="157">
        <f>IF(D93="","-",+C151+1)</f>
        <v>2064</v>
      </c>
      <c r="D152" s="158">
        <f>IF(F151+SUM(E$99:E151)=D$92,F151,D$92-SUM(E$99:E151))</f>
        <v>0</v>
      </c>
      <c r="E152" s="165">
        <f t="shared" si="30"/>
        <v>0</v>
      </c>
      <c r="F152" s="163">
        <f t="shared" si="31"/>
        <v>0</v>
      </c>
      <c r="G152" s="163">
        <f t="shared" si="32"/>
        <v>0</v>
      </c>
      <c r="H152" s="167">
        <f t="shared" si="33"/>
        <v>0</v>
      </c>
      <c r="I152" s="317">
        <f t="shared" si="34"/>
        <v>0</v>
      </c>
      <c r="J152" s="162">
        <f t="shared" si="35"/>
        <v>0</v>
      </c>
      <c r="K152" s="162"/>
      <c r="L152" s="335"/>
      <c r="M152" s="162">
        <f t="shared" si="36"/>
        <v>0</v>
      </c>
      <c r="N152" s="335"/>
      <c r="O152" s="162">
        <f t="shared" si="37"/>
        <v>0</v>
      </c>
      <c r="P152" s="162">
        <f t="shared" si="38"/>
        <v>0</v>
      </c>
    </row>
    <row r="153" spans="2:16">
      <c r="B153" s="9" t="str">
        <f t="shared" si="39"/>
        <v/>
      </c>
      <c r="C153" s="157">
        <f>IF(D93="","-",+C152+1)</f>
        <v>2065</v>
      </c>
      <c r="D153" s="158">
        <f>IF(F152+SUM(E$99:E152)=D$92,F152,D$92-SUM(E$99:E152))</f>
        <v>0</v>
      </c>
      <c r="E153" s="165">
        <f t="shared" si="30"/>
        <v>0</v>
      </c>
      <c r="F153" s="163">
        <f t="shared" si="31"/>
        <v>0</v>
      </c>
      <c r="G153" s="163">
        <f t="shared" si="32"/>
        <v>0</v>
      </c>
      <c r="H153" s="167">
        <f t="shared" si="33"/>
        <v>0</v>
      </c>
      <c r="I153" s="317">
        <f t="shared" si="34"/>
        <v>0</v>
      </c>
      <c r="J153" s="162">
        <f t="shared" si="35"/>
        <v>0</v>
      </c>
      <c r="K153" s="162"/>
      <c r="L153" s="335"/>
      <c r="M153" s="162">
        <f t="shared" si="36"/>
        <v>0</v>
      </c>
      <c r="N153" s="335"/>
      <c r="O153" s="162">
        <f t="shared" si="37"/>
        <v>0</v>
      </c>
      <c r="P153" s="162">
        <f t="shared" si="38"/>
        <v>0</v>
      </c>
    </row>
    <row r="154" spans="2:16" ht="13.5" thickBot="1">
      <c r="B154" s="9" t="str">
        <f t="shared" si="39"/>
        <v/>
      </c>
      <c r="C154" s="168">
        <f>IF(D93="","-",+C153+1)</f>
        <v>2066</v>
      </c>
      <c r="D154" s="388">
        <f>IF(F153+SUM(E$99:E153)=D$92,F153,D$92-SUM(E$99:E153))</f>
        <v>0</v>
      </c>
      <c r="E154" s="377">
        <f t="shared" si="30"/>
        <v>0</v>
      </c>
      <c r="F154" s="169">
        <f t="shared" si="31"/>
        <v>0</v>
      </c>
      <c r="G154" s="169">
        <f t="shared" si="32"/>
        <v>0</v>
      </c>
      <c r="H154" s="171">
        <f t="shared" si="33"/>
        <v>0</v>
      </c>
      <c r="I154" s="318">
        <f t="shared" si="34"/>
        <v>0</v>
      </c>
      <c r="J154" s="173">
        <f t="shared" si="35"/>
        <v>0</v>
      </c>
      <c r="K154" s="162"/>
      <c r="L154" s="336"/>
      <c r="M154" s="173">
        <f t="shared" si="36"/>
        <v>0</v>
      </c>
      <c r="N154" s="336"/>
      <c r="O154" s="173">
        <f t="shared" si="37"/>
        <v>0</v>
      </c>
      <c r="P154" s="173">
        <f t="shared" si="38"/>
        <v>0</v>
      </c>
    </row>
    <row r="155" spans="2:16">
      <c r="C155" s="158" t="s">
        <v>72</v>
      </c>
      <c r="D155" s="115"/>
      <c r="E155" s="115">
        <f>SUM(E99:E154)</f>
        <v>1404099.6199999999</v>
      </c>
      <c r="F155" s="115"/>
      <c r="G155" s="115"/>
      <c r="H155" s="115">
        <f>SUM(H99:H154)</f>
        <v>5684059.7040930735</v>
      </c>
      <c r="I155" s="115">
        <f>SUM(I99:I154)</f>
        <v>5684059.7040930735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38" priority="1" stopIfTrue="1" operator="equal">
      <formula>$I$10</formula>
    </cfRule>
  </conditionalFormatting>
  <conditionalFormatting sqref="C99:C154">
    <cfRule type="cellIs" dxfId="3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8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12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403446.06827075174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403446.06827075174</v>
      </c>
      <c r="O6" s="1"/>
      <c r="P6" s="1"/>
    </row>
    <row r="7" spans="1:16" ht="13.5" thickBot="1">
      <c r="C7" s="127" t="s">
        <v>41</v>
      </c>
      <c r="D7" s="343" t="s">
        <v>227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226</v>
      </c>
      <c r="E9" s="428" t="s">
        <v>312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3305767.14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2012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10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82644.178500000009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2012</v>
      </c>
      <c r="D17" s="366">
        <v>1132400</v>
      </c>
      <c r="E17" s="367">
        <v>3629.4871794871797</v>
      </c>
      <c r="F17" s="366">
        <v>1128770.5128205128</v>
      </c>
      <c r="G17" s="367">
        <v>160761.94360740471</v>
      </c>
      <c r="H17" s="370">
        <v>160761.94360740471</v>
      </c>
      <c r="I17" s="160">
        <f t="shared" ref="I17:I48" si="0">H17-G17</f>
        <v>0</v>
      </c>
      <c r="J17" s="160"/>
      <c r="K17" s="337">
        <f t="shared" ref="K17:K22" si="1">G17</f>
        <v>160761.94360740471</v>
      </c>
      <c r="L17" s="176">
        <f t="shared" ref="L17:L48" si="2">IF(K17&lt;&gt;0,+G17-K17,0)</f>
        <v>0</v>
      </c>
      <c r="M17" s="337">
        <f t="shared" ref="M17:M22" si="3">H17</f>
        <v>160761.94360740471</v>
      </c>
      <c r="N17" s="358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>IU</v>
      </c>
      <c r="C18" s="157">
        <f>IF(D11="","-",+C17+1)</f>
        <v>2013</v>
      </c>
      <c r="D18" s="366">
        <v>2746405</v>
      </c>
      <c r="E18" s="368">
        <v>52885</v>
      </c>
      <c r="F18" s="366">
        <v>2693519</v>
      </c>
      <c r="G18" s="368">
        <v>437538</v>
      </c>
      <c r="H18" s="370">
        <v>437538</v>
      </c>
      <c r="I18" s="160">
        <f t="shared" si="0"/>
        <v>0</v>
      </c>
      <c r="J18" s="160"/>
      <c r="K18" s="338">
        <f t="shared" si="1"/>
        <v>437538</v>
      </c>
      <c r="L18" s="272">
        <f t="shared" ref="L18:L23" si="7">IF(K18&lt;&gt;0,+G18-K18,0)</f>
        <v>0</v>
      </c>
      <c r="M18" s="338">
        <f t="shared" si="3"/>
        <v>437538</v>
      </c>
      <c r="N18" s="162">
        <f t="shared" ref="N18:N23" si="8">IF(M18&lt;&gt;0,+H18-M18,0)</f>
        <v>0</v>
      </c>
      <c r="O18" s="162">
        <f t="shared" ref="O18:O23" si="9">+N18-L18</f>
        <v>0</v>
      </c>
      <c r="P18" s="4"/>
    </row>
    <row r="19" spans="2:16">
      <c r="B19" s="9" t="str">
        <f t="shared" si="6"/>
        <v>IU</v>
      </c>
      <c r="C19" s="157">
        <f>IF(D11="","-",+C18+1)</f>
        <v>2014</v>
      </c>
      <c r="D19" s="366">
        <v>3185619.512820513</v>
      </c>
      <c r="E19" s="368">
        <v>62348.730769230766</v>
      </c>
      <c r="F19" s="366">
        <v>3123270.782051282</v>
      </c>
      <c r="G19" s="368">
        <v>492294.73076923075</v>
      </c>
      <c r="H19" s="370">
        <v>492294.73076923075</v>
      </c>
      <c r="I19" s="160">
        <v>0</v>
      </c>
      <c r="J19" s="160"/>
      <c r="K19" s="338">
        <f t="shared" si="1"/>
        <v>492294.73076923075</v>
      </c>
      <c r="L19" s="272">
        <f t="shared" si="7"/>
        <v>0</v>
      </c>
      <c r="M19" s="338">
        <f t="shared" si="3"/>
        <v>492294.73076923075</v>
      </c>
      <c r="N19" s="162">
        <f t="shared" si="8"/>
        <v>0</v>
      </c>
      <c r="O19" s="162">
        <f t="shared" si="9"/>
        <v>0</v>
      </c>
      <c r="P19" s="4"/>
    </row>
    <row r="20" spans="2:16">
      <c r="B20" s="9" t="str">
        <f t="shared" si="6"/>
        <v>IU</v>
      </c>
      <c r="C20" s="157">
        <f>IF(D11="","-",+C19+1)</f>
        <v>2015</v>
      </c>
      <c r="D20" s="366">
        <v>3186903.9220512821</v>
      </c>
      <c r="E20" s="368">
        <v>63572.445</v>
      </c>
      <c r="F20" s="366">
        <v>3123331.4770512823</v>
      </c>
      <c r="G20" s="368">
        <v>494191.44500000001</v>
      </c>
      <c r="H20" s="370">
        <v>494191.44500000001</v>
      </c>
      <c r="I20" s="160">
        <v>0</v>
      </c>
      <c r="J20" s="160"/>
      <c r="K20" s="338">
        <f t="shared" si="1"/>
        <v>494191.44500000001</v>
      </c>
      <c r="L20" s="272">
        <f t="shared" si="7"/>
        <v>0</v>
      </c>
      <c r="M20" s="338">
        <f t="shared" si="3"/>
        <v>494191.44500000001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6"/>
        <v/>
      </c>
      <c r="C21" s="157">
        <f>IF(D11="","-",+C20+1)</f>
        <v>2016</v>
      </c>
      <c r="D21" s="366">
        <v>3123331.4770512823</v>
      </c>
      <c r="E21" s="368">
        <v>63572.445</v>
      </c>
      <c r="F21" s="366">
        <v>3059759.0320512825</v>
      </c>
      <c r="G21" s="368">
        <v>464889.44500000001</v>
      </c>
      <c r="H21" s="370">
        <v>464889.44500000001</v>
      </c>
      <c r="I21" s="160">
        <f t="shared" si="0"/>
        <v>0</v>
      </c>
      <c r="J21" s="160"/>
      <c r="K21" s="338">
        <f t="shared" si="1"/>
        <v>464889.44500000001</v>
      </c>
      <c r="L21" s="272">
        <f t="shared" si="7"/>
        <v>0</v>
      </c>
      <c r="M21" s="338">
        <f t="shared" si="3"/>
        <v>464889.44500000001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2017</v>
      </c>
      <c r="D22" s="366">
        <v>3059759.0320512825</v>
      </c>
      <c r="E22" s="368">
        <v>71864.503043478268</v>
      </c>
      <c r="F22" s="366">
        <v>2987894.5290078041</v>
      </c>
      <c r="G22" s="368">
        <v>452105.50304347824</v>
      </c>
      <c r="H22" s="370">
        <v>452105.50304347824</v>
      </c>
      <c r="I22" s="160">
        <v>0</v>
      </c>
      <c r="J22" s="160"/>
      <c r="K22" s="338">
        <f t="shared" si="1"/>
        <v>452105.50304347824</v>
      </c>
      <c r="L22" s="272">
        <f t="shared" si="7"/>
        <v>0</v>
      </c>
      <c r="M22" s="338">
        <f t="shared" si="3"/>
        <v>452105.50304347824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2018</v>
      </c>
      <c r="D23" s="366">
        <v>2987894.5290078041</v>
      </c>
      <c r="E23" s="368">
        <v>73461.491999999998</v>
      </c>
      <c r="F23" s="366">
        <v>2914433.037007804</v>
      </c>
      <c r="G23" s="368">
        <v>426889.74050815182</v>
      </c>
      <c r="H23" s="370">
        <v>426889.74050815182</v>
      </c>
      <c r="I23" s="160">
        <f t="shared" si="0"/>
        <v>0</v>
      </c>
      <c r="J23" s="160"/>
      <c r="K23" s="338">
        <f>G23</f>
        <v>426889.74050815182</v>
      </c>
      <c r="L23" s="272">
        <f t="shared" si="7"/>
        <v>0</v>
      </c>
      <c r="M23" s="338">
        <f>H23</f>
        <v>426889.74050815182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2019</v>
      </c>
      <c r="D24" s="163">
        <f>IF(F23+SUM(E$17:E23)=D$10,F23,D$10-SUM(E$17:E23))</f>
        <v>2914433.037007804</v>
      </c>
      <c r="E24" s="164">
        <f>IF(+I14&lt;F23,I14,D24)</f>
        <v>82644.178500000009</v>
      </c>
      <c r="F24" s="163">
        <f t="shared" ref="F24:F48" si="10">+D24-E24</f>
        <v>2831788.8585078041</v>
      </c>
      <c r="G24" s="165">
        <f t="shared" ref="G24:G72" si="11">(D24+F24)/2*I$12+E24</f>
        <v>403446.06827075174</v>
      </c>
      <c r="H24" s="147">
        <f t="shared" ref="H24:H72" si="12">+(D24+F24)/2*I$13+E24</f>
        <v>403446.06827075174</v>
      </c>
      <c r="I24" s="160">
        <f t="shared" si="0"/>
        <v>0</v>
      </c>
      <c r="J24" s="160"/>
      <c r="K24" s="335"/>
      <c r="L24" s="162">
        <f t="shared" si="2"/>
        <v>0</v>
      </c>
      <c r="M24" s="335"/>
      <c r="N24" s="162">
        <f t="shared" si="4"/>
        <v>0</v>
      </c>
      <c r="O24" s="162">
        <f t="shared" si="5"/>
        <v>0</v>
      </c>
      <c r="P24" s="4"/>
    </row>
    <row r="25" spans="2:16">
      <c r="B25" s="9" t="str">
        <f t="shared" si="6"/>
        <v/>
      </c>
      <c r="C25" s="157">
        <f>IF(D11="","-",+C24+1)</f>
        <v>2020</v>
      </c>
      <c r="D25" s="163">
        <f>IF(F24+SUM(E$17:E24)=D$10,F24,D$10-SUM(E$17:E24))</f>
        <v>2831788.8585078041</v>
      </c>
      <c r="E25" s="164">
        <f>IF(+I14&lt;F24,I14,D25)</f>
        <v>82644.178500000009</v>
      </c>
      <c r="F25" s="163">
        <f t="shared" si="10"/>
        <v>2749144.6800078042</v>
      </c>
      <c r="G25" s="165">
        <f t="shared" si="11"/>
        <v>394218.29770308826</v>
      </c>
      <c r="H25" s="147">
        <f t="shared" si="12"/>
        <v>394218.29770308826</v>
      </c>
      <c r="I25" s="160">
        <f t="shared" si="0"/>
        <v>0</v>
      </c>
      <c r="J25" s="160"/>
      <c r="K25" s="335"/>
      <c r="L25" s="162">
        <f t="shared" si="2"/>
        <v>0</v>
      </c>
      <c r="M25" s="335"/>
      <c r="N25" s="162">
        <f t="shared" si="4"/>
        <v>0</v>
      </c>
      <c r="O25" s="162">
        <f t="shared" si="5"/>
        <v>0</v>
      </c>
      <c r="P25" s="4"/>
    </row>
    <row r="26" spans="2:16">
      <c r="B26" s="9" t="str">
        <f t="shared" si="6"/>
        <v/>
      </c>
      <c r="C26" s="157">
        <f>IF(D11="","-",+C25+1)</f>
        <v>2021</v>
      </c>
      <c r="D26" s="163">
        <f>IF(F25+SUM(E$17:E25)=D$10,F25,D$10-SUM(E$17:E25))</f>
        <v>2749144.6800078042</v>
      </c>
      <c r="E26" s="164">
        <f>IF(+I14&lt;F25,I14,D26)</f>
        <v>82644.178500000009</v>
      </c>
      <c r="F26" s="163">
        <f t="shared" si="10"/>
        <v>2666500.5015078043</v>
      </c>
      <c r="G26" s="165">
        <f t="shared" si="11"/>
        <v>384990.52713542467</v>
      </c>
      <c r="H26" s="147">
        <f t="shared" si="12"/>
        <v>384990.52713542467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2022</v>
      </c>
      <c r="D27" s="166">
        <f>IF(F26+SUM(E$17:E26)=D$10,F26,D$10-SUM(E$17:E26))</f>
        <v>2666500.5015078043</v>
      </c>
      <c r="E27" s="164">
        <f>IF(+I14&lt;F26,I14,D27)</f>
        <v>82644.178500000009</v>
      </c>
      <c r="F27" s="163">
        <f t="shared" si="10"/>
        <v>2583856.3230078043</v>
      </c>
      <c r="G27" s="165">
        <f t="shared" si="11"/>
        <v>375762.75656776119</v>
      </c>
      <c r="H27" s="147">
        <f t="shared" si="12"/>
        <v>375762.75656776119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2023</v>
      </c>
      <c r="D28" s="163">
        <f>IF(F27+SUM(E$17:E27)=D$10,F27,D$10-SUM(E$17:E27))</f>
        <v>2583856.3230078043</v>
      </c>
      <c r="E28" s="164">
        <f>IF(+I14&lt;F27,I14,D28)</f>
        <v>82644.178500000009</v>
      </c>
      <c r="F28" s="163">
        <f t="shared" si="10"/>
        <v>2501212.1445078044</v>
      </c>
      <c r="G28" s="165">
        <f t="shared" si="11"/>
        <v>366534.98600009771</v>
      </c>
      <c r="H28" s="147">
        <f t="shared" si="12"/>
        <v>366534.98600009771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2024</v>
      </c>
      <c r="D29" s="163">
        <f>IF(F28+SUM(E$17:E28)=D$10,F28,D$10-SUM(E$17:E28))</f>
        <v>2501212.1445078044</v>
      </c>
      <c r="E29" s="164">
        <f>IF(+I14&lt;F28,I14,D29)</f>
        <v>82644.178500000009</v>
      </c>
      <c r="F29" s="163">
        <f t="shared" si="10"/>
        <v>2418567.9660078045</v>
      </c>
      <c r="G29" s="165">
        <f t="shared" si="11"/>
        <v>357307.21543243423</v>
      </c>
      <c r="H29" s="147">
        <f t="shared" si="12"/>
        <v>357307.21543243423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2025</v>
      </c>
      <c r="D30" s="163">
        <f>IF(F29+SUM(E$17:E29)=D$10,F29,D$10-SUM(E$17:E29))</f>
        <v>2418567.9660078045</v>
      </c>
      <c r="E30" s="164">
        <f>IF(+I14&lt;F29,I14,D30)</f>
        <v>82644.178500000009</v>
      </c>
      <c r="F30" s="163">
        <f t="shared" si="10"/>
        <v>2335923.7875078046</v>
      </c>
      <c r="G30" s="165">
        <f t="shared" si="11"/>
        <v>348079.44486477063</v>
      </c>
      <c r="H30" s="147">
        <f t="shared" si="12"/>
        <v>348079.44486477063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2026</v>
      </c>
      <c r="D31" s="163">
        <f>IF(F30+SUM(E$17:E30)=D$10,F30,D$10-SUM(E$17:E30))</f>
        <v>2335923.7875078046</v>
      </c>
      <c r="E31" s="164">
        <f>IF(+I14&lt;F30,I14,D31)</f>
        <v>82644.178500000009</v>
      </c>
      <c r="F31" s="163">
        <f t="shared" si="10"/>
        <v>2253279.6090078047</v>
      </c>
      <c r="G31" s="165">
        <f t="shared" si="11"/>
        <v>338851.67429710715</v>
      </c>
      <c r="H31" s="147">
        <f t="shared" si="12"/>
        <v>338851.67429710715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2027</v>
      </c>
      <c r="D32" s="163">
        <f>IF(F31+SUM(E$17:E31)=D$10,F31,D$10-SUM(E$17:E31))</f>
        <v>2253279.6090078047</v>
      </c>
      <c r="E32" s="164">
        <f>IF(+I14&lt;F31,I14,D32)</f>
        <v>82644.178500000009</v>
      </c>
      <c r="F32" s="163">
        <f t="shared" si="10"/>
        <v>2170635.4305078047</v>
      </c>
      <c r="G32" s="165">
        <f t="shared" si="11"/>
        <v>329623.90372944355</v>
      </c>
      <c r="H32" s="147">
        <f t="shared" si="12"/>
        <v>329623.90372944355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2028</v>
      </c>
      <c r="D33" s="163">
        <f>IF(F32+SUM(E$17:E32)=D$10,F32,D$10-SUM(E$17:E32))</f>
        <v>2170635.4305078047</v>
      </c>
      <c r="E33" s="164">
        <f>IF(+I14&lt;F32,I14,D33)</f>
        <v>82644.178500000009</v>
      </c>
      <c r="F33" s="163">
        <f t="shared" si="10"/>
        <v>2087991.2520078048</v>
      </c>
      <c r="G33" s="165">
        <f t="shared" si="11"/>
        <v>320396.13316178008</v>
      </c>
      <c r="H33" s="147">
        <f t="shared" si="12"/>
        <v>320396.13316178008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2029</v>
      </c>
      <c r="D34" s="163">
        <f>IF(F33+SUM(E$17:E33)=D$10,F33,D$10-SUM(E$17:E33))</f>
        <v>2087991.2520078048</v>
      </c>
      <c r="E34" s="164">
        <f>IF(+I14&lt;F33,I14,D34)</f>
        <v>82644.178500000009</v>
      </c>
      <c r="F34" s="163">
        <f t="shared" si="10"/>
        <v>2005347.0735078049</v>
      </c>
      <c r="G34" s="165">
        <f t="shared" si="11"/>
        <v>311168.3625941166</v>
      </c>
      <c r="H34" s="147">
        <f t="shared" si="12"/>
        <v>311168.3625941166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2030</v>
      </c>
      <c r="D35" s="163">
        <f>IF(F34+SUM(E$17:E34)=D$10,F34,D$10-SUM(E$17:E34))</f>
        <v>2005347.0735078049</v>
      </c>
      <c r="E35" s="164">
        <f>IF(+I14&lt;F34,I14,D35)</f>
        <v>82644.178500000009</v>
      </c>
      <c r="F35" s="163">
        <f t="shared" si="10"/>
        <v>1922702.895007805</v>
      </c>
      <c r="G35" s="165">
        <f t="shared" si="11"/>
        <v>301940.59202645306</v>
      </c>
      <c r="H35" s="147">
        <f t="shared" si="12"/>
        <v>301940.59202645306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2031</v>
      </c>
      <c r="D36" s="163">
        <f>IF(F35+SUM(E$17:E35)=D$10,F35,D$10-SUM(E$17:E35))</f>
        <v>1922702.895007805</v>
      </c>
      <c r="E36" s="164">
        <f>IF(+I14&lt;F35,I14,D36)</f>
        <v>82644.178500000009</v>
      </c>
      <c r="F36" s="163">
        <f t="shared" si="10"/>
        <v>1840058.716507805</v>
      </c>
      <c r="G36" s="165">
        <f t="shared" si="11"/>
        <v>292712.82145878952</v>
      </c>
      <c r="H36" s="147">
        <f t="shared" si="12"/>
        <v>292712.82145878952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2032</v>
      </c>
      <c r="D37" s="163">
        <f>IF(F36+SUM(E$17:E36)=D$10,F36,D$10-SUM(E$17:E36))</f>
        <v>1840058.716507805</v>
      </c>
      <c r="E37" s="164">
        <f>IF(+I14&lt;F36,I14,D37)</f>
        <v>82644.178500000009</v>
      </c>
      <c r="F37" s="163">
        <f t="shared" si="10"/>
        <v>1757414.5380078051</v>
      </c>
      <c r="G37" s="165">
        <f t="shared" si="11"/>
        <v>283485.05089112604</v>
      </c>
      <c r="H37" s="147">
        <f t="shared" si="12"/>
        <v>283485.05089112604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2033</v>
      </c>
      <c r="D38" s="163">
        <f>IF(F37+SUM(E$17:E37)=D$10,F37,D$10-SUM(E$17:E37))</f>
        <v>1757414.5380078051</v>
      </c>
      <c r="E38" s="164">
        <f>IF(+I14&lt;F37,I14,D38)</f>
        <v>82644.178500000009</v>
      </c>
      <c r="F38" s="163">
        <f t="shared" si="10"/>
        <v>1674770.3595078052</v>
      </c>
      <c r="G38" s="165">
        <f t="shared" si="11"/>
        <v>274257.28032346244</v>
      </c>
      <c r="H38" s="147">
        <f t="shared" si="12"/>
        <v>274257.28032346244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2034</v>
      </c>
      <c r="D39" s="163">
        <f>IF(F38+SUM(E$17:E38)=D$10,F38,D$10-SUM(E$17:E38))</f>
        <v>1674770.3595078052</v>
      </c>
      <c r="E39" s="164">
        <f>IF(+I14&lt;F38,I14,D39)</f>
        <v>82644.178500000009</v>
      </c>
      <c r="F39" s="163">
        <f t="shared" si="10"/>
        <v>1592126.1810078053</v>
      </c>
      <c r="G39" s="165">
        <f t="shared" si="11"/>
        <v>265029.50975579896</v>
      </c>
      <c r="H39" s="147">
        <f t="shared" si="12"/>
        <v>265029.50975579896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2035</v>
      </c>
      <c r="D40" s="163">
        <f>IF(F39+SUM(E$17:E39)=D$10,F39,D$10-SUM(E$17:E39))</f>
        <v>1592126.1810078053</v>
      </c>
      <c r="E40" s="164">
        <f>IF(+I14&lt;F39,I14,D40)</f>
        <v>82644.178500000009</v>
      </c>
      <c r="F40" s="163">
        <f t="shared" si="10"/>
        <v>1509482.0025078054</v>
      </c>
      <c r="G40" s="165">
        <f t="shared" si="11"/>
        <v>255801.73918813546</v>
      </c>
      <c r="H40" s="147">
        <f t="shared" si="12"/>
        <v>255801.73918813546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2036</v>
      </c>
      <c r="D41" s="163">
        <f>IF(F40+SUM(E$17:E40)=D$10,F40,D$10-SUM(E$17:E40))</f>
        <v>1509482.0025078054</v>
      </c>
      <c r="E41" s="164">
        <f>IF(+I14&lt;F40,I14,D41)</f>
        <v>82644.178500000009</v>
      </c>
      <c r="F41" s="163">
        <f t="shared" si="10"/>
        <v>1426837.8240078054</v>
      </c>
      <c r="G41" s="165">
        <f t="shared" si="11"/>
        <v>246573.96862047192</v>
      </c>
      <c r="H41" s="147">
        <f t="shared" si="12"/>
        <v>246573.96862047192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2037</v>
      </c>
      <c r="D42" s="163">
        <f>IF(F41+SUM(E$17:E41)=D$10,F41,D$10-SUM(E$17:E41))</f>
        <v>1426837.8240078054</v>
      </c>
      <c r="E42" s="164">
        <f>IF(+I14&lt;F41,I14,D42)</f>
        <v>82644.178500000009</v>
      </c>
      <c r="F42" s="163">
        <f t="shared" si="10"/>
        <v>1344193.6455078055</v>
      </c>
      <c r="G42" s="165">
        <f t="shared" si="11"/>
        <v>237346.19805280841</v>
      </c>
      <c r="H42" s="147">
        <f t="shared" si="12"/>
        <v>237346.19805280841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2038</v>
      </c>
      <c r="D43" s="163">
        <f>IF(F42+SUM(E$17:E42)=D$10,F42,D$10-SUM(E$17:E42))</f>
        <v>1344193.6455078055</v>
      </c>
      <c r="E43" s="164">
        <f>IF(+I14&lt;F42,I14,D43)</f>
        <v>82644.178500000009</v>
      </c>
      <c r="F43" s="163">
        <f t="shared" si="10"/>
        <v>1261549.4670078056</v>
      </c>
      <c r="G43" s="165">
        <f t="shared" si="11"/>
        <v>228118.42748514487</v>
      </c>
      <c r="H43" s="147">
        <f t="shared" si="12"/>
        <v>228118.42748514487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2039</v>
      </c>
      <c r="D44" s="163">
        <f>IF(F43+SUM(E$17:E43)=D$10,F43,D$10-SUM(E$17:E43))</f>
        <v>1261549.4670078056</v>
      </c>
      <c r="E44" s="164">
        <f>IF(+I14&lt;F43,I14,D44)</f>
        <v>82644.178500000009</v>
      </c>
      <c r="F44" s="163">
        <f t="shared" si="10"/>
        <v>1178905.2885078057</v>
      </c>
      <c r="G44" s="165">
        <f t="shared" si="11"/>
        <v>218890.65691748136</v>
      </c>
      <c r="H44" s="147">
        <f t="shared" si="12"/>
        <v>218890.65691748136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2040</v>
      </c>
      <c r="D45" s="163">
        <f>IF(F44+SUM(E$17:E44)=D$10,F44,D$10-SUM(E$17:E44))</f>
        <v>1178905.2885078057</v>
      </c>
      <c r="E45" s="164">
        <f>IF(+I14&lt;F44,I14,D45)</f>
        <v>82644.178500000009</v>
      </c>
      <c r="F45" s="163">
        <f t="shared" si="10"/>
        <v>1096261.1100078057</v>
      </c>
      <c r="G45" s="165">
        <f t="shared" si="11"/>
        <v>209662.88634981785</v>
      </c>
      <c r="H45" s="147">
        <f t="shared" si="12"/>
        <v>209662.88634981785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2041</v>
      </c>
      <c r="D46" s="163">
        <f>IF(F45+SUM(E$17:E45)=D$10,F45,D$10-SUM(E$17:E45))</f>
        <v>1096261.1100078057</v>
      </c>
      <c r="E46" s="164">
        <f>IF(+I14&lt;F45,I14,D46)</f>
        <v>82644.178500000009</v>
      </c>
      <c r="F46" s="163">
        <f t="shared" si="10"/>
        <v>1013616.9315078057</v>
      </c>
      <c r="G46" s="165">
        <f t="shared" si="11"/>
        <v>200435.11578215432</v>
      </c>
      <c r="H46" s="147">
        <f t="shared" si="12"/>
        <v>200435.11578215432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2042</v>
      </c>
      <c r="D47" s="163">
        <f>IF(F46+SUM(E$17:E46)=D$10,F46,D$10-SUM(E$17:E46))</f>
        <v>1013616.9315078057</v>
      </c>
      <c r="E47" s="164">
        <f>IF(+I14&lt;F46,I14,D47)</f>
        <v>82644.178500000009</v>
      </c>
      <c r="F47" s="163">
        <f t="shared" si="10"/>
        <v>930972.75300780567</v>
      </c>
      <c r="G47" s="165">
        <f t="shared" si="11"/>
        <v>191207.34521449078</v>
      </c>
      <c r="H47" s="147">
        <f t="shared" si="12"/>
        <v>191207.34521449078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2043</v>
      </c>
      <c r="D48" s="163">
        <f>IF(F47+SUM(E$17:E47)=D$10,F47,D$10-SUM(E$17:E47))</f>
        <v>930972.75300780567</v>
      </c>
      <c r="E48" s="164">
        <f>IF(+I14&lt;F47,I14,D48)</f>
        <v>82644.178500000009</v>
      </c>
      <c r="F48" s="163">
        <f t="shared" si="10"/>
        <v>848328.57450780564</v>
      </c>
      <c r="G48" s="165">
        <f t="shared" si="11"/>
        <v>181979.57464682724</v>
      </c>
      <c r="H48" s="147">
        <f t="shared" si="12"/>
        <v>181979.57464682724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2044</v>
      </c>
      <c r="D49" s="163">
        <f>IF(F48+SUM(E$17:E48)=D$10,F48,D$10-SUM(E$17:E48))</f>
        <v>848328.57450780564</v>
      </c>
      <c r="E49" s="164">
        <f>IF(+I14&lt;F48,I14,D49)</f>
        <v>82644.178500000009</v>
      </c>
      <c r="F49" s="163">
        <f t="shared" ref="F49:F72" si="13">+D49-E49</f>
        <v>765684.3960078056</v>
      </c>
      <c r="G49" s="165">
        <f t="shared" si="11"/>
        <v>172751.8040791637</v>
      </c>
      <c r="H49" s="147">
        <f t="shared" si="12"/>
        <v>172751.8040791637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ref="B50:B72" si="18">IF(D50=F49,"","IU")</f>
        <v/>
      </c>
      <c r="C50" s="157">
        <f>IF(D11="","-",+C49+1)</f>
        <v>2045</v>
      </c>
      <c r="D50" s="163">
        <f>IF(F49+SUM(E$17:E49)=D$10,F49,D$10-SUM(E$17:E49))</f>
        <v>765684.3960078056</v>
      </c>
      <c r="E50" s="164">
        <f>IF(+I14&lt;F49,I14,D50)</f>
        <v>82644.178500000009</v>
      </c>
      <c r="F50" s="163">
        <f t="shared" si="13"/>
        <v>683040.21750780556</v>
      </c>
      <c r="G50" s="165">
        <f t="shared" si="11"/>
        <v>163524.03351150017</v>
      </c>
      <c r="H50" s="147">
        <f t="shared" si="12"/>
        <v>163524.03351150017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18"/>
        <v/>
      </c>
      <c r="C51" s="157">
        <f>IF(D11="","-",+C50+1)</f>
        <v>2046</v>
      </c>
      <c r="D51" s="163">
        <f>IF(F50+SUM(E$17:E50)=D$10,F50,D$10-SUM(E$17:E50))</f>
        <v>683040.21750780556</v>
      </c>
      <c r="E51" s="164">
        <f>IF(+I14&lt;F50,I14,D51)</f>
        <v>82644.178500000009</v>
      </c>
      <c r="F51" s="163">
        <f t="shared" si="13"/>
        <v>600396.03900780552</v>
      </c>
      <c r="G51" s="165">
        <f t="shared" si="11"/>
        <v>154296.26294383663</v>
      </c>
      <c r="H51" s="147">
        <f t="shared" si="12"/>
        <v>154296.26294383663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18"/>
        <v/>
      </c>
      <c r="C52" s="157">
        <f>IF(D11="","-",+C51+1)</f>
        <v>2047</v>
      </c>
      <c r="D52" s="163">
        <f>IF(F51+SUM(E$17:E51)=D$10,F51,D$10-SUM(E$17:E51))</f>
        <v>600396.03900780552</v>
      </c>
      <c r="E52" s="164">
        <f>IF(+I14&lt;F51,I14,D52)</f>
        <v>82644.178500000009</v>
      </c>
      <c r="F52" s="163">
        <f t="shared" si="13"/>
        <v>517751.86050780548</v>
      </c>
      <c r="G52" s="165">
        <f t="shared" si="11"/>
        <v>145068.49237617312</v>
      </c>
      <c r="H52" s="147">
        <f t="shared" si="12"/>
        <v>145068.49237617312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18"/>
        <v/>
      </c>
      <c r="C53" s="157">
        <f>IF(D11="","-",+C52+1)</f>
        <v>2048</v>
      </c>
      <c r="D53" s="163">
        <f>IF(F52+SUM(E$17:E52)=D$10,F52,D$10-SUM(E$17:E52))</f>
        <v>517751.86050780548</v>
      </c>
      <c r="E53" s="164">
        <f>IF(+I14&lt;F52,I14,D53)</f>
        <v>82644.178500000009</v>
      </c>
      <c r="F53" s="163">
        <f t="shared" si="13"/>
        <v>435107.68200780544</v>
      </c>
      <c r="G53" s="165">
        <f t="shared" si="11"/>
        <v>135840.72180850958</v>
      </c>
      <c r="H53" s="147">
        <f t="shared" si="12"/>
        <v>135840.72180850958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18"/>
        <v/>
      </c>
      <c r="C54" s="157">
        <f>IF(D11="","-",+C53+1)</f>
        <v>2049</v>
      </c>
      <c r="D54" s="163">
        <f>IF(F53+SUM(E$17:E53)=D$10,F53,D$10-SUM(E$17:E53))</f>
        <v>435107.68200780544</v>
      </c>
      <c r="E54" s="164">
        <f>IF(+I14&lt;F53,I14,D54)</f>
        <v>82644.178500000009</v>
      </c>
      <c r="F54" s="163">
        <f t="shared" si="13"/>
        <v>352463.50350780541</v>
      </c>
      <c r="G54" s="165">
        <f t="shared" si="11"/>
        <v>126612.95124084604</v>
      </c>
      <c r="H54" s="147">
        <f t="shared" si="12"/>
        <v>126612.95124084604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18"/>
        <v/>
      </c>
      <c r="C55" s="157">
        <f>IF(D11="","-",+C54+1)</f>
        <v>2050</v>
      </c>
      <c r="D55" s="163">
        <f>IF(F54+SUM(E$17:E54)=D$10,F54,D$10-SUM(E$17:E54))</f>
        <v>352463.50350780541</v>
      </c>
      <c r="E55" s="164">
        <f>IF(+I14&lt;F54,I14,D55)</f>
        <v>82644.178500000009</v>
      </c>
      <c r="F55" s="163">
        <f t="shared" si="13"/>
        <v>269819.32500780537</v>
      </c>
      <c r="G55" s="165">
        <f t="shared" si="11"/>
        <v>117385.18067318251</v>
      </c>
      <c r="H55" s="147">
        <f t="shared" si="12"/>
        <v>117385.18067318251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18"/>
        <v/>
      </c>
      <c r="C56" s="157">
        <f>IF(D11="","-",+C55+1)</f>
        <v>2051</v>
      </c>
      <c r="D56" s="163">
        <f>IF(F55+SUM(E$17:E55)=D$10,F55,D$10-SUM(E$17:E55))</f>
        <v>269819.32500780537</v>
      </c>
      <c r="E56" s="164">
        <f>IF(+I14&lt;F55,I14,D56)</f>
        <v>82644.178500000009</v>
      </c>
      <c r="F56" s="163">
        <f t="shared" si="13"/>
        <v>187175.14650780536</v>
      </c>
      <c r="G56" s="165">
        <f t="shared" si="11"/>
        <v>108157.41010551897</v>
      </c>
      <c r="H56" s="147">
        <f t="shared" si="12"/>
        <v>108157.41010551897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18"/>
        <v/>
      </c>
      <c r="C57" s="157">
        <f>IF(D11="","-",+C56+1)</f>
        <v>2052</v>
      </c>
      <c r="D57" s="163">
        <f>IF(F56+SUM(E$17:E56)=D$10,F56,D$10-SUM(E$17:E56))</f>
        <v>187175.14650780536</v>
      </c>
      <c r="E57" s="164">
        <f>IF(+I14&lt;F56,I14,D57)</f>
        <v>82644.178500000009</v>
      </c>
      <c r="F57" s="163">
        <f t="shared" si="13"/>
        <v>104530.96800780535</v>
      </c>
      <c r="G57" s="165">
        <f t="shared" si="11"/>
        <v>98929.639537855444</v>
      </c>
      <c r="H57" s="147">
        <f t="shared" si="12"/>
        <v>98929.639537855444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18"/>
        <v/>
      </c>
      <c r="C58" s="157">
        <f>IF(D11="","-",+C57+1)</f>
        <v>2053</v>
      </c>
      <c r="D58" s="163">
        <f>IF(F57+SUM(E$17:E57)=D$10,F57,D$10-SUM(E$17:E57))</f>
        <v>104530.96800780535</v>
      </c>
      <c r="E58" s="164">
        <f>IF(+I14&lt;F57,I14,D58)</f>
        <v>82644.178500000009</v>
      </c>
      <c r="F58" s="163">
        <f t="shared" si="13"/>
        <v>21886.789507805341</v>
      </c>
      <c r="G58" s="165">
        <f t="shared" si="11"/>
        <v>89701.868970191907</v>
      </c>
      <c r="H58" s="147">
        <f t="shared" si="12"/>
        <v>89701.868970191907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18"/>
        <v/>
      </c>
      <c r="C59" s="157">
        <f>IF(D11="","-",+C58+1)</f>
        <v>2054</v>
      </c>
      <c r="D59" s="163">
        <f>IF(F58+SUM(E$17:E58)=D$10,F58,D$10-SUM(E$17:E58))</f>
        <v>21886.789507805341</v>
      </c>
      <c r="E59" s="164">
        <f>IF(+I14&lt;F58,I14,D59)</f>
        <v>21886.789507805341</v>
      </c>
      <c r="F59" s="163">
        <f t="shared" si="13"/>
        <v>0</v>
      </c>
      <c r="G59" s="165">
        <f t="shared" si="11"/>
        <v>23108.692100985409</v>
      </c>
      <c r="H59" s="147">
        <f t="shared" si="12"/>
        <v>23108.692100985409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18"/>
        <v/>
      </c>
      <c r="C60" s="157">
        <f>IF(D11="","-",+C59+1)</f>
        <v>2055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18"/>
        <v/>
      </c>
      <c r="C61" s="157">
        <f>IF(D11="","-",+C60+1)</f>
        <v>2056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18"/>
        <v/>
      </c>
      <c r="C62" s="157">
        <f>IF(D11="","-",+C61+1)</f>
        <v>2057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18"/>
        <v/>
      </c>
      <c r="C63" s="157">
        <f>IF(D11="","-",+C62+1)</f>
        <v>2058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18"/>
        <v/>
      </c>
      <c r="C64" s="157">
        <f>IF(D11="","-",+C63+1)</f>
        <v>2059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18"/>
        <v/>
      </c>
      <c r="C65" s="157">
        <f>IF(D11="","-",+C64+1)</f>
        <v>2060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18"/>
        <v/>
      </c>
      <c r="C66" s="157">
        <f>IF(D11="","-",+C65+1)</f>
        <v>2061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18"/>
        <v/>
      </c>
      <c r="C67" s="157">
        <f>IF(D11="","-",+C66+1)</f>
        <v>2062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18"/>
        <v/>
      </c>
      <c r="C68" s="157">
        <f>IF(D11="","-",+C67+1)</f>
        <v>2063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18"/>
        <v/>
      </c>
      <c r="C69" s="157">
        <f>IF(D11="","-",+C68+1)</f>
        <v>2064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18"/>
        <v/>
      </c>
      <c r="C70" s="157">
        <f>IF(D11="","-",+C69+1)</f>
        <v>2065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18"/>
        <v/>
      </c>
      <c r="C71" s="157">
        <f>IF(D11="","-",+C70+1)</f>
        <v>2066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18"/>
        <v/>
      </c>
      <c r="C72" s="168">
        <f>IF(D11="","-",+C71+1)</f>
        <v>2067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3305767.1399999997</v>
      </c>
      <c r="F73" s="115"/>
      <c r="G73" s="115">
        <f>SUM(G17:G72)</f>
        <v>11581868.401745766</v>
      </c>
      <c r="H73" s="115">
        <f>SUM(H17:H72)</f>
        <v>11581868.401745766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12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452105.50304347824</v>
      </c>
      <c r="N87" s="202">
        <f>IF(J92&lt;D11,0,VLOOKUP(J92,C17:O72,11))</f>
        <v>452105.50304347824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453292.85398579738</v>
      </c>
      <c r="N88" s="204">
        <f>IF(J92&lt;D11,0,VLOOKUP(J92,C99:P154,7))</f>
        <v>453292.85398579738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Canadian River - McAlester City 138 kV Line Conversion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1187.3509423191426</v>
      </c>
      <c r="N89" s="207">
        <f>+N88-N87</f>
        <v>1187.3509423191426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TP2009095-PSO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3305767.14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v>2012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v>10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71865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41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2012</v>
      </c>
      <c r="D99" s="420">
        <f>IF(D93=C99,0,D92)</f>
        <v>0</v>
      </c>
      <c r="E99" s="421">
        <v>1616</v>
      </c>
      <c r="F99" s="422">
        <v>502209</v>
      </c>
      <c r="G99" s="427">
        <v>251209</v>
      </c>
      <c r="H99" s="423">
        <v>37753</v>
      </c>
      <c r="I99" s="424">
        <v>37753</v>
      </c>
      <c r="J99" s="162">
        <f t="shared" ref="J99:J130" si="19">+I99-H99</f>
        <v>0</v>
      </c>
      <c r="K99" s="434"/>
      <c r="L99" s="384">
        <f>H99</f>
        <v>37753</v>
      </c>
      <c r="M99" s="435">
        <f>IF(L99&lt;&gt;0,+H99-L99,0)</f>
        <v>0</v>
      </c>
      <c r="N99" s="384">
        <f>I99</f>
        <v>37753</v>
      </c>
      <c r="O99" s="175">
        <f>IF(N99&lt;&gt;0,+I99-N99,0)</f>
        <v>0</v>
      </c>
      <c r="P99" s="161">
        <f>+O99-M99</f>
        <v>0</v>
      </c>
    </row>
    <row r="100" spans="1:16">
      <c r="B100" s="9" t="str">
        <f t="shared" ref="B100:B131" si="20">IF(D100=F99,"","IU")</f>
        <v>IU</v>
      </c>
      <c r="C100" s="157">
        <f>IF(D93="","-",+C99+1)</f>
        <v>2013</v>
      </c>
      <c r="D100" s="436">
        <v>3240518</v>
      </c>
      <c r="E100" s="437">
        <v>62349</v>
      </c>
      <c r="F100" s="438">
        <v>3178169</v>
      </c>
      <c r="G100" s="438">
        <v>3209343.5</v>
      </c>
      <c r="H100" s="437">
        <v>524300.60020262119</v>
      </c>
      <c r="I100" s="439">
        <v>524300.60020262119</v>
      </c>
      <c r="J100" s="162">
        <v>0</v>
      </c>
      <c r="K100" s="434"/>
      <c r="L100" s="380">
        <f>H100</f>
        <v>524300.60020262119</v>
      </c>
      <c r="M100" s="435">
        <f>IF(L100&lt;&gt;0,+H100-L100,0)</f>
        <v>0</v>
      </c>
      <c r="N100" s="380">
        <f>I100</f>
        <v>524300.60020262119</v>
      </c>
      <c r="O100" s="175">
        <f>IF(N100&lt;&gt;0,+I100-N100,0)</f>
        <v>0</v>
      </c>
      <c r="P100" s="162">
        <f>+O100-M100</f>
        <v>0</v>
      </c>
    </row>
    <row r="101" spans="1:16">
      <c r="B101" s="9" t="str">
        <f t="shared" si="20"/>
        <v>IU</v>
      </c>
      <c r="C101" s="157">
        <f>IF(D93="","-",+C100+1)</f>
        <v>2014</v>
      </c>
      <c r="D101" s="436">
        <v>3241802.14</v>
      </c>
      <c r="E101" s="437">
        <v>63572</v>
      </c>
      <c r="F101" s="438">
        <v>3178230.14</v>
      </c>
      <c r="G101" s="438">
        <v>3210016.14</v>
      </c>
      <c r="H101" s="437">
        <v>514887.14751698606</v>
      </c>
      <c r="I101" s="439">
        <v>514887.14751698606</v>
      </c>
      <c r="J101" s="162">
        <v>0</v>
      </c>
      <c r="K101" s="434"/>
      <c r="L101" s="380">
        <f>H101</f>
        <v>514887.14751698606</v>
      </c>
      <c r="M101" s="435">
        <f>IF(L101&lt;&gt;0,+H101-L101,0)</f>
        <v>0</v>
      </c>
      <c r="N101" s="380">
        <f>I101</f>
        <v>514887.14751698606</v>
      </c>
      <c r="O101" s="175">
        <f>IF(N101&lt;&gt;0,+I101-N101,0)</f>
        <v>0</v>
      </c>
      <c r="P101" s="162">
        <f>+O101-M101</f>
        <v>0</v>
      </c>
    </row>
    <row r="102" spans="1:16">
      <c r="B102" s="9" t="str">
        <f t="shared" si="20"/>
        <v/>
      </c>
      <c r="C102" s="157">
        <f>IF(D93="","-",+C101+1)</f>
        <v>2015</v>
      </c>
      <c r="D102" s="436">
        <v>3178230.14</v>
      </c>
      <c r="E102" s="437">
        <v>63572</v>
      </c>
      <c r="F102" s="438">
        <v>3114658.14</v>
      </c>
      <c r="G102" s="438">
        <v>3146444.14</v>
      </c>
      <c r="H102" s="437">
        <v>492879.0042454137</v>
      </c>
      <c r="I102" s="439">
        <v>492879.0042454137</v>
      </c>
      <c r="J102" s="162">
        <f t="shared" si="19"/>
        <v>0</v>
      </c>
      <c r="K102" s="162"/>
      <c r="L102" s="380">
        <f>H102</f>
        <v>492879.0042454137</v>
      </c>
      <c r="M102" s="435">
        <f>IF(L102&lt;&gt;0,+H102-L102,0)</f>
        <v>0</v>
      </c>
      <c r="N102" s="380">
        <f>I102</f>
        <v>492879.0042454137</v>
      </c>
      <c r="O102" s="175">
        <f>IF(N102&lt;&gt;0,+I102-N102,0)</f>
        <v>0</v>
      </c>
      <c r="P102" s="162">
        <f>+O102-M102</f>
        <v>0</v>
      </c>
    </row>
    <row r="103" spans="1:16">
      <c r="B103" s="9" t="str">
        <f t="shared" si="20"/>
        <v/>
      </c>
      <c r="C103" s="157">
        <f>IF(D93="","-",+C102+1)</f>
        <v>2016</v>
      </c>
      <c r="D103" s="436">
        <v>3114658.14</v>
      </c>
      <c r="E103" s="437">
        <v>71865</v>
      </c>
      <c r="F103" s="438">
        <v>3042793.14</v>
      </c>
      <c r="G103" s="438">
        <v>3078725.64</v>
      </c>
      <c r="H103" s="437">
        <v>468761.221459263</v>
      </c>
      <c r="I103" s="439">
        <v>468761.221459263</v>
      </c>
      <c r="J103" s="162">
        <v>0</v>
      </c>
      <c r="K103" s="162"/>
      <c r="L103" s="380">
        <f>H103</f>
        <v>468761.221459263</v>
      </c>
      <c r="M103" s="435">
        <f>IF(L103&lt;&gt;0,+H103-L103,0)</f>
        <v>0</v>
      </c>
      <c r="N103" s="380">
        <f>I103</f>
        <v>468761.221459263</v>
      </c>
      <c r="O103" s="175">
        <f>IF(N103&lt;&gt;0,+I103-N103,0)</f>
        <v>0</v>
      </c>
      <c r="P103" s="162">
        <f>+O103-M103</f>
        <v>0</v>
      </c>
    </row>
    <row r="104" spans="1:16">
      <c r="B104" s="9" t="str">
        <f t="shared" si="20"/>
        <v/>
      </c>
      <c r="C104" s="157">
        <f>IF(D93="","-",+C103+1)</f>
        <v>2017</v>
      </c>
      <c r="D104" s="158">
        <f>IF(F103+SUM(E$99:E103)=D$92,F103,D$92-SUM(E$99:E103))</f>
        <v>3042793.14</v>
      </c>
      <c r="E104" s="164">
        <f t="shared" ref="E104:E154" si="21">IF(+J$96&lt;F103,J$96,D104)</f>
        <v>71865</v>
      </c>
      <c r="F104" s="163">
        <f t="shared" ref="F104:F154" si="22">+D104-E104</f>
        <v>2970928.14</v>
      </c>
      <c r="G104" s="163">
        <f t="shared" ref="G104:G154" si="23">+(F104+D104)/2</f>
        <v>3006860.64</v>
      </c>
      <c r="H104" s="167">
        <f t="shared" ref="H104:H130" si="24">+J$94*G104+E104</f>
        <v>453292.85398579738</v>
      </c>
      <c r="I104" s="317">
        <f t="shared" ref="I104:I130" si="25">+J$95*G104+E104</f>
        <v>453292.85398579738</v>
      </c>
      <c r="J104" s="162">
        <f t="shared" si="19"/>
        <v>0</v>
      </c>
      <c r="K104" s="162"/>
      <c r="L104" s="335"/>
      <c r="M104" s="162">
        <f t="shared" ref="M104:M130" si="26">IF(L104&lt;&gt;0,+H104-L104,0)</f>
        <v>0</v>
      </c>
      <c r="N104" s="335"/>
      <c r="O104" s="162">
        <f t="shared" ref="O104:O130" si="27">IF(N104&lt;&gt;0,+I104-N104,0)</f>
        <v>0</v>
      </c>
      <c r="P104" s="162">
        <f t="shared" ref="P104:P130" si="28">+O104-M104</f>
        <v>0</v>
      </c>
    </row>
    <row r="105" spans="1:16">
      <c r="B105" s="9" t="str">
        <f t="shared" si="20"/>
        <v/>
      </c>
      <c r="C105" s="157">
        <f>IF(D93="","-",+C104+1)</f>
        <v>2018</v>
      </c>
      <c r="D105" s="158">
        <f>IF(F104+SUM(E$99:E104)=D$92,F104,D$92-SUM(E$99:E104))</f>
        <v>2970928.14</v>
      </c>
      <c r="E105" s="164">
        <f t="shared" si="21"/>
        <v>71865</v>
      </c>
      <c r="F105" s="163">
        <f t="shared" si="22"/>
        <v>2899063.14</v>
      </c>
      <c r="G105" s="163">
        <f t="shared" si="23"/>
        <v>2934995.64</v>
      </c>
      <c r="H105" s="167">
        <f t="shared" si="24"/>
        <v>444176.59752813552</v>
      </c>
      <c r="I105" s="317">
        <f t="shared" si="25"/>
        <v>444176.59752813552</v>
      </c>
      <c r="J105" s="162">
        <f t="shared" si="19"/>
        <v>0</v>
      </c>
      <c r="K105" s="162"/>
      <c r="L105" s="335"/>
      <c r="M105" s="162">
        <f t="shared" si="26"/>
        <v>0</v>
      </c>
      <c r="N105" s="335"/>
      <c r="O105" s="162">
        <f t="shared" si="27"/>
        <v>0</v>
      </c>
      <c r="P105" s="162">
        <f t="shared" si="28"/>
        <v>0</v>
      </c>
    </row>
    <row r="106" spans="1:16">
      <c r="B106" s="9" t="str">
        <f t="shared" si="20"/>
        <v/>
      </c>
      <c r="C106" s="157">
        <f>IF(D93="","-",+C105+1)</f>
        <v>2019</v>
      </c>
      <c r="D106" s="158">
        <f>IF(F105+SUM(E$99:E105)=D$92,F105,D$92-SUM(E$99:E105))</f>
        <v>2899063.14</v>
      </c>
      <c r="E106" s="164">
        <f t="shared" si="21"/>
        <v>71865</v>
      </c>
      <c r="F106" s="163">
        <f t="shared" si="22"/>
        <v>2827198.14</v>
      </c>
      <c r="G106" s="163">
        <f t="shared" si="23"/>
        <v>2863130.64</v>
      </c>
      <c r="H106" s="167">
        <f t="shared" si="24"/>
        <v>435060.3410704736</v>
      </c>
      <c r="I106" s="317">
        <f t="shared" si="25"/>
        <v>435060.3410704736</v>
      </c>
      <c r="J106" s="162">
        <f t="shared" si="19"/>
        <v>0</v>
      </c>
      <c r="K106" s="162"/>
      <c r="L106" s="335"/>
      <c r="M106" s="162">
        <f t="shared" si="26"/>
        <v>0</v>
      </c>
      <c r="N106" s="335"/>
      <c r="O106" s="162">
        <f t="shared" si="27"/>
        <v>0</v>
      </c>
      <c r="P106" s="162">
        <f t="shared" si="28"/>
        <v>0</v>
      </c>
    </row>
    <row r="107" spans="1:16">
      <c r="B107" s="9" t="str">
        <f t="shared" si="20"/>
        <v/>
      </c>
      <c r="C107" s="157">
        <f>IF(D93="","-",+C106+1)</f>
        <v>2020</v>
      </c>
      <c r="D107" s="158">
        <f>IF(F106+SUM(E$99:E106)=D$92,F106,D$92-SUM(E$99:E106))</f>
        <v>2827198.14</v>
      </c>
      <c r="E107" s="165">
        <f t="shared" si="21"/>
        <v>71865</v>
      </c>
      <c r="F107" s="163">
        <f t="shared" si="22"/>
        <v>2755333.14</v>
      </c>
      <c r="G107" s="163">
        <f t="shared" si="23"/>
        <v>2791265.64</v>
      </c>
      <c r="H107" s="167">
        <f t="shared" si="24"/>
        <v>425944.08461281174</v>
      </c>
      <c r="I107" s="317">
        <f t="shared" si="25"/>
        <v>425944.08461281174</v>
      </c>
      <c r="J107" s="162">
        <f t="shared" si="19"/>
        <v>0</v>
      </c>
      <c r="K107" s="162"/>
      <c r="L107" s="335"/>
      <c r="M107" s="162">
        <f t="shared" si="26"/>
        <v>0</v>
      </c>
      <c r="N107" s="335"/>
      <c r="O107" s="162">
        <f t="shared" si="27"/>
        <v>0</v>
      </c>
      <c r="P107" s="162">
        <f t="shared" si="28"/>
        <v>0</v>
      </c>
    </row>
    <row r="108" spans="1:16">
      <c r="B108" s="9" t="str">
        <f t="shared" si="20"/>
        <v/>
      </c>
      <c r="C108" s="157">
        <f>IF(D93="","-",+C107+1)</f>
        <v>2021</v>
      </c>
      <c r="D108" s="158">
        <f>IF(F107+SUM(E$99:E107)=D$92,F107,D$92-SUM(E$99:E107))</f>
        <v>2755333.14</v>
      </c>
      <c r="E108" s="165">
        <f t="shared" si="21"/>
        <v>71865</v>
      </c>
      <c r="F108" s="163">
        <f t="shared" si="22"/>
        <v>2683468.14</v>
      </c>
      <c r="G108" s="163">
        <f t="shared" si="23"/>
        <v>2719400.64</v>
      </c>
      <c r="H108" s="167">
        <f t="shared" si="24"/>
        <v>416827.82815514988</v>
      </c>
      <c r="I108" s="317">
        <f t="shared" si="25"/>
        <v>416827.82815514988</v>
      </c>
      <c r="J108" s="162">
        <f t="shared" si="19"/>
        <v>0</v>
      </c>
      <c r="K108" s="162"/>
      <c r="L108" s="335"/>
      <c r="M108" s="162">
        <f t="shared" si="26"/>
        <v>0</v>
      </c>
      <c r="N108" s="335"/>
      <c r="O108" s="162">
        <f t="shared" si="27"/>
        <v>0</v>
      </c>
      <c r="P108" s="162">
        <f t="shared" si="28"/>
        <v>0</v>
      </c>
    </row>
    <row r="109" spans="1:16">
      <c r="B109" s="9" t="str">
        <f t="shared" si="20"/>
        <v/>
      </c>
      <c r="C109" s="157">
        <f>IF(D93="","-",+C108+1)</f>
        <v>2022</v>
      </c>
      <c r="D109" s="158">
        <f>IF(F108+SUM(E$99:E108)=D$92,F108,D$92-SUM(E$99:E108))</f>
        <v>2683468.14</v>
      </c>
      <c r="E109" s="165">
        <f t="shared" si="21"/>
        <v>71865</v>
      </c>
      <c r="F109" s="163">
        <f t="shared" si="22"/>
        <v>2611603.14</v>
      </c>
      <c r="G109" s="163">
        <f t="shared" si="23"/>
        <v>2647535.64</v>
      </c>
      <c r="H109" s="167">
        <f t="shared" si="24"/>
        <v>407711.57169748802</v>
      </c>
      <c r="I109" s="317">
        <f t="shared" si="25"/>
        <v>407711.57169748802</v>
      </c>
      <c r="J109" s="162">
        <f t="shared" si="19"/>
        <v>0</v>
      </c>
      <c r="K109" s="162"/>
      <c r="L109" s="335"/>
      <c r="M109" s="162">
        <f t="shared" si="26"/>
        <v>0</v>
      </c>
      <c r="N109" s="335"/>
      <c r="O109" s="162">
        <f t="shared" si="27"/>
        <v>0</v>
      </c>
      <c r="P109" s="162">
        <f t="shared" si="28"/>
        <v>0</v>
      </c>
    </row>
    <row r="110" spans="1:16">
      <c r="B110" s="9" t="str">
        <f t="shared" si="20"/>
        <v/>
      </c>
      <c r="C110" s="157">
        <f>IF(D93="","-",+C109+1)</f>
        <v>2023</v>
      </c>
      <c r="D110" s="158">
        <f>IF(F109+SUM(E$99:E109)=D$92,F109,D$92-SUM(E$99:E109))</f>
        <v>2611603.14</v>
      </c>
      <c r="E110" s="165">
        <f t="shared" si="21"/>
        <v>71865</v>
      </c>
      <c r="F110" s="163">
        <f t="shared" si="22"/>
        <v>2539738.14</v>
      </c>
      <c r="G110" s="163">
        <f t="shared" si="23"/>
        <v>2575670.64</v>
      </c>
      <c r="H110" s="167">
        <f t="shared" si="24"/>
        <v>398595.3152398261</v>
      </c>
      <c r="I110" s="317">
        <f t="shared" si="25"/>
        <v>398595.3152398261</v>
      </c>
      <c r="J110" s="162">
        <f t="shared" si="19"/>
        <v>0</v>
      </c>
      <c r="K110" s="162"/>
      <c r="L110" s="335"/>
      <c r="M110" s="162">
        <f t="shared" si="26"/>
        <v>0</v>
      </c>
      <c r="N110" s="335"/>
      <c r="O110" s="162">
        <f t="shared" si="27"/>
        <v>0</v>
      </c>
      <c r="P110" s="162">
        <f t="shared" si="28"/>
        <v>0</v>
      </c>
    </row>
    <row r="111" spans="1:16">
      <c r="B111" s="9" t="str">
        <f t="shared" si="20"/>
        <v/>
      </c>
      <c r="C111" s="157">
        <f>IF(D93="","-",+C110+1)</f>
        <v>2024</v>
      </c>
      <c r="D111" s="158">
        <f>IF(F110+SUM(E$99:E110)=D$92,F110,D$92-SUM(E$99:E110))</f>
        <v>2539738.14</v>
      </c>
      <c r="E111" s="165">
        <f t="shared" si="21"/>
        <v>71865</v>
      </c>
      <c r="F111" s="163">
        <f t="shared" si="22"/>
        <v>2467873.14</v>
      </c>
      <c r="G111" s="163">
        <f t="shared" si="23"/>
        <v>2503805.64</v>
      </c>
      <c r="H111" s="167">
        <f t="shared" si="24"/>
        <v>389479.05878216424</v>
      </c>
      <c r="I111" s="317">
        <f t="shared" si="25"/>
        <v>389479.05878216424</v>
      </c>
      <c r="J111" s="162">
        <f t="shared" si="19"/>
        <v>0</v>
      </c>
      <c r="K111" s="162"/>
      <c r="L111" s="335"/>
      <c r="M111" s="162">
        <f t="shared" si="26"/>
        <v>0</v>
      </c>
      <c r="N111" s="335"/>
      <c r="O111" s="162">
        <f t="shared" si="27"/>
        <v>0</v>
      </c>
      <c r="P111" s="162">
        <f t="shared" si="28"/>
        <v>0</v>
      </c>
    </row>
    <row r="112" spans="1:16">
      <c r="B112" s="9" t="str">
        <f t="shared" si="20"/>
        <v/>
      </c>
      <c r="C112" s="157">
        <f>IF(D93="","-",+C111+1)</f>
        <v>2025</v>
      </c>
      <c r="D112" s="158">
        <f>IF(F111+SUM(E$99:E111)=D$92,F111,D$92-SUM(E$99:E111))</f>
        <v>2467873.14</v>
      </c>
      <c r="E112" s="165">
        <f t="shared" si="21"/>
        <v>71865</v>
      </c>
      <c r="F112" s="163">
        <f t="shared" si="22"/>
        <v>2396008.14</v>
      </c>
      <c r="G112" s="163">
        <f t="shared" si="23"/>
        <v>2431940.64</v>
      </c>
      <c r="H112" s="167">
        <f t="shared" si="24"/>
        <v>380362.80232450238</v>
      </c>
      <c r="I112" s="317">
        <f t="shared" si="25"/>
        <v>380362.80232450238</v>
      </c>
      <c r="J112" s="162">
        <f t="shared" si="19"/>
        <v>0</v>
      </c>
      <c r="K112" s="162"/>
      <c r="L112" s="335"/>
      <c r="M112" s="162">
        <f t="shared" si="26"/>
        <v>0</v>
      </c>
      <c r="N112" s="335"/>
      <c r="O112" s="162">
        <f t="shared" si="27"/>
        <v>0</v>
      </c>
      <c r="P112" s="162">
        <f t="shared" si="28"/>
        <v>0</v>
      </c>
    </row>
    <row r="113" spans="2:16">
      <c r="B113" s="9" t="str">
        <f t="shared" si="20"/>
        <v/>
      </c>
      <c r="C113" s="157">
        <f>IF(D93="","-",+C112+1)</f>
        <v>2026</v>
      </c>
      <c r="D113" s="158">
        <f>IF(F112+SUM(E$99:E112)=D$92,F112,D$92-SUM(E$99:E112))</f>
        <v>2396008.14</v>
      </c>
      <c r="E113" s="165">
        <f t="shared" si="21"/>
        <v>71865</v>
      </c>
      <c r="F113" s="163">
        <f t="shared" si="22"/>
        <v>2324143.14</v>
      </c>
      <c r="G113" s="163">
        <f t="shared" si="23"/>
        <v>2360075.64</v>
      </c>
      <c r="H113" s="167">
        <f t="shared" si="24"/>
        <v>371246.54586684046</v>
      </c>
      <c r="I113" s="317">
        <f t="shared" si="25"/>
        <v>371246.54586684046</v>
      </c>
      <c r="J113" s="162">
        <f t="shared" si="19"/>
        <v>0</v>
      </c>
      <c r="K113" s="162"/>
      <c r="L113" s="335"/>
      <c r="M113" s="162">
        <f t="shared" si="26"/>
        <v>0</v>
      </c>
      <c r="N113" s="335"/>
      <c r="O113" s="162">
        <f t="shared" si="27"/>
        <v>0</v>
      </c>
      <c r="P113" s="162">
        <f t="shared" si="28"/>
        <v>0</v>
      </c>
    </row>
    <row r="114" spans="2:16">
      <c r="B114" s="9" t="str">
        <f t="shared" si="20"/>
        <v/>
      </c>
      <c r="C114" s="157">
        <f>IF(D93="","-",+C113+1)</f>
        <v>2027</v>
      </c>
      <c r="D114" s="158">
        <f>IF(F113+SUM(E$99:E113)=D$92,F113,D$92-SUM(E$99:E113))</f>
        <v>2324143.14</v>
      </c>
      <c r="E114" s="165">
        <f t="shared" si="21"/>
        <v>71865</v>
      </c>
      <c r="F114" s="163">
        <f t="shared" si="22"/>
        <v>2252278.14</v>
      </c>
      <c r="G114" s="163">
        <f t="shared" si="23"/>
        <v>2288210.64</v>
      </c>
      <c r="H114" s="167">
        <f t="shared" si="24"/>
        <v>362130.2894091786</v>
      </c>
      <c r="I114" s="317">
        <f t="shared" si="25"/>
        <v>362130.2894091786</v>
      </c>
      <c r="J114" s="162">
        <f t="shared" si="19"/>
        <v>0</v>
      </c>
      <c r="K114" s="162"/>
      <c r="L114" s="335"/>
      <c r="M114" s="162">
        <f t="shared" si="26"/>
        <v>0</v>
      </c>
      <c r="N114" s="335"/>
      <c r="O114" s="162">
        <f t="shared" si="27"/>
        <v>0</v>
      </c>
      <c r="P114" s="162">
        <f t="shared" si="28"/>
        <v>0</v>
      </c>
    </row>
    <row r="115" spans="2:16">
      <c r="B115" s="9" t="str">
        <f t="shared" si="20"/>
        <v/>
      </c>
      <c r="C115" s="157">
        <f>IF(D93="","-",+C114+1)</f>
        <v>2028</v>
      </c>
      <c r="D115" s="158">
        <f>IF(F114+SUM(E$99:E114)=D$92,F114,D$92-SUM(E$99:E114))</f>
        <v>2252278.14</v>
      </c>
      <c r="E115" s="165">
        <f t="shared" si="21"/>
        <v>71865</v>
      </c>
      <c r="F115" s="163">
        <f t="shared" si="22"/>
        <v>2180413.14</v>
      </c>
      <c r="G115" s="163">
        <f t="shared" si="23"/>
        <v>2216345.64</v>
      </c>
      <c r="H115" s="167">
        <f t="shared" si="24"/>
        <v>353014.03295151674</v>
      </c>
      <c r="I115" s="317">
        <f t="shared" si="25"/>
        <v>353014.03295151674</v>
      </c>
      <c r="J115" s="162">
        <f t="shared" si="19"/>
        <v>0</v>
      </c>
      <c r="K115" s="162"/>
      <c r="L115" s="335"/>
      <c r="M115" s="162">
        <f t="shared" si="26"/>
        <v>0</v>
      </c>
      <c r="N115" s="335"/>
      <c r="O115" s="162">
        <f t="shared" si="27"/>
        <v>0</v>
      </c>
      <c r="P115" s="162">
        <f t="shared" si="28"/>
        <v>0</v>
      </c>
    </row>
    <row r="116" spans="2:16">
      <c r="B116" s="9" t="str">
        <f t="shared" si="20"/>
        <v/>
      </c>
      <c r="C116" s="157">
        <f>IF(D93="","-",+C115+1)</f>
        <v>2029</v>
      </c>
      <c r="D116" s="158">
        <f>IF(F115+SUM(E$99:E115)=D$92,F115,D$92-SUM(E$99:E115))</f>
        <v>2180413.14</v>
      </c>
      <c r="E116" s="165">
        <f t="shared" si="21"/>
        <v>71865</v>
      </c>
      <c r="F116" s="163">
        <f t="shared" si="22"/>
        <v>2108548.14</v>
      </c>
      <c r="G116" s="163">
        <f t="shared" si="23"/>
        <v>2144480.64</v>
      </c>
      <c r="H116" s="167">
        <f t="shared" si="24"/>
        <v>343897.77649385482</v>
      </c>
      <c r="I116" s="317">
        <f t="shared" si="25"/>
        <v>343897.77649385482</v>
      </c>
      <c r="J116" s="162">
        <f t="shared" si="19"/>
        <v>0</v>
      </c>
      <c r="K116" s="162"/>
      <c r="L116" s="335"/>
      <c r="M116" s="162">
        <f t="shared" si="26"/>
        <v>0</v>
      </c>
      <c r="N116" s="335"/>
      <c r="O116" s="162">
        <f t="shared" si="27"/>
        <v>0</v>
      </c>
      <c r="P116" s="162">
        <f t="shared" si="28"/>
        <v>0</v>
      </c>
    </row>
    <row r="117" spans="2:16">
      <c r="B117" s="9" t="str">
        <f t="shared" si="20"/>
        <v/>
      </c>
      <c r="C117" s="157">
        <f>IF(D93="","-",+C116+1)</f>
        <v>2030</v>
      </c>
      <c r="D117" s="158">
        <f>IF(F116+SUM(E$99:E116)=D$92,F116,D$92-SUM(E$99:E116))</f>
        <v>2108548.14</v>
      </c>
      <c r="E117" s="165">
        <f t="shared" si="21"/>
        <v>71865</v>
      </c>
      <c r="F117" s="163">
        <f t="shared" si="22"/>
        <v>2036683.1400000001</v>
      </c>
      <c r="G117" s="163">
        <f t="shared" si="23"/>
        <v>2072615.6400000001</v>
      </c>
      <c r="H117" s="167">
        <f t="shared" si="24"/>
        <v>334781.52003619296</v>
      </c>
      <c r="I117" s="317">
        <f t="shared" si="25"/>
        <v>334781.52003619296</v>
      </c>
      <c r="J117" s="162">
        <f t="shared" si="19"/>
        <v>0</v>
      </c>
      <c r="K117" s="162"/>
      <c r="L117" s="335"/>
      <c r="M117" s="162">
        <f t="shared" si="26"/>
        <v>0</v>
      </c>
      <c r="N117" s="335"/>
      <c r="O117" s="162">
        <f t="shared" si="27"/>
        <v>0</v>
      </c>
      <c r="P117" s="162">
        <f t="shared" si="28"/>
        <v>0</v>
      </c>
    </row>
    <row r="118" spans="2:16">
      <c r="B118" s="9" t="str">
        <f t="shared" si="20"/>
        <v/>
      </c>
      <c r="C118" s="157">
        <f>IF(D93="","-",+C117+1)</f>
        <v>2031</v>
      </c>
      <c r="D118" s="158">
        <f>IF(F117+SUM(E$99:E117)=D$92,F117,D$92-SUM(E$99:E117))</f>
        <v>2036683.1400000001</v>
      </c>
      <c r="E118" s="165">
        <f t="shared" si="21"/>
        <v>71865</v>
      </c>
      <c r="F118" s="163">
        <f t="shared" si="22"/>
        <v>1964818.1400000001</v>
      </c>
      <c r="G118" s="163">
        <f t="shared" si="23"/>
        <v>2000750.6400000001</v>
      </c>
      <c r="H118" s="167">
        <f t="shared" si="24"/>
        <v>325665.2635785311</v>
      </c>
      <c r="I118" s="317">
        <f t="shared" si="25"/>
        <v>325665.2635785311</v>
      </c>
      <c r="J118" s="162">
        <f t="shared" si="19"/>
        <v>0</v>
      </c>
      <c r="K118" s="162"/>
      <c r="L118" s="335"/>
      <c r="M118" s="162">
        <f t="shared" si="26"/>
        <v>0</v>
      </c>
      <c r="N118" s="335"/>
      <c r="O118" s="162">
        <f t="shared" si="27"/>
        <v>0</v>
      </c>
      <c r="P118" s="162">
        <f t="shared" si="28"/>
        <v>0</v>
      </c>
    </row>
    <row r="119" spans="2:16">
      <c r="B119" s="9" t="str">
        <f t="shared" si="20"/>
        <v/>
      </c>
      <c r="C119" s="157">
        <f>IF(D93="","-",+C118+1)</f>
        <v>2032</v>
      </c>
      <c r="D119" s="158">
        <f>IF(F118+SUM(E$99:E118)=D$92,F118,D$92-SUM(E$99:E118))</f>
        <v>1964818.1400000001</v>
      </c>
      <c r="E119" s="165">
        <f t="shared" si="21"/>
        <v>71865</v>
      </c>
      <c r="F119" s="163">
        <f t="shared" si="22"/>
        <v>1892953.1400000001</v>
      </c>
      <c r="G119" s="163">
        <f t="shared" si="23"/>
        <v>1928885.6400000001</v>
      </c>
      <c r="H119" s="167">
        <f t="shared" si="24"/>
        <v>316549.00712086924</v>
      </c>
      <c r="I119" s="317">
        <f t="shared" si="25"/>
        <v>316549.00712086924</v>
      </c>
      <c r="J119" s="162">
        <f t="shared" si="19"/>
        <v>0</v>
      </c>
      <c r="K119" s="162"/>
      <c r="L119" s="335"/>
      <c r="M119" s="162">
        <f t="shared" si="26"/>
        <v>0</v>
      </c>
      <c r="N119" s="335"/>
      <c r="O119" s="162">
        <f t="shared" si="27"/>
        <v>0</v>
      </c>
      <c r="P119" s="162">
        <f t="shared" si="28"/>
        <v>0</v>
      </c>
    </row>
    <row r="120" spans="2:16">
      <c r="B120" s="9" t="str">
        <f t="shared" si="20"/>
        <v/>
      </c>
      <c r="C120" s="157">
        <f>IF(D93="","-",+C119+1)</f>
        <v>2033</v>
      </c>
      <c r="D120" s="158">
        <f>IF(F119+SUM(E$99:E119)=D$92,F119,D$92-SUM(E$99:E119))</f>
        <v>1892953.1400000001</v>
      </c>
      <c r="E120" s="165">
        <f t="shared" si="21"/>
        <v>71865</v>
      </c>
      <c r="F120" s="163">
        <f t="shared" si="22"/>
        <v>1821088.1400000001</v>
      </c>
      <c r="G120" s="163">
        <f t="shared" si="23"/>
        <v>1857020.6400000001</v>
      </c>
      <c r="H120" s="167">
        <f t="shared" si="24"/>
        <v>307432.75066320732</v>
      </c>
      <c r="I120" s="317">
        <f t="shared" si="25"/>
        <v>307432.75066320732</v>
      </c>
      <c r="J120" s="162">
        <f t="shared" si="19"/>
        <v>0</v>
      </c>
      <c r="K120" s="162"/>
      <c r="L120" s="335"/>
      <c r="M120" s="162">
        <f t="shared" si="26"/>
        <v>0</v>
      </c>
      <c r="N120" s="335"/>
      <c r="O120" s="162">
        <f t="shared" si="27"/>
        <v>0</v>
      </c>
      <c r="P120" s="162">
        <f t="shared" si="28"/>
        <v>0</v>
      </c>
    </row>
    <row r="121" spans="2:16">
      <c r="B121" s="9" t="str">
        <f t="shared" si="20"/>
        <v/>
      </c>
      <c r="C121" s="157">
        <f>IF(D93="","-",+C120+1)</f>
        <v>2034</v>
      </c>
      <c r="D121" s="158">
        <f>IF(F120+SUM(E$99:E120)=D$92,F120,D$92-SUM(E$99:E120))</f>
        <v>1821088.1400000001</v>
      </c>
      <c r="E121" s="165">
        <f t="shared" si="21"/>
        <v>71865</v>
      </c>
      <c r="F121" s="163">
        <f t="shared" si="22"/>
        <v>1749223.1400000001</v>
      </c>
      <c r="G121" s="163">
        <f t="shared" si="23"/>
        <v>1785155.6400000001</v>
      </c>
      <c r="H121" s="167">
        <f t="shared" si="24"/>
        <v>298316.49420554546</v>
      </c>
      <c r="I121" s="317">
        <f t="shared" si="25"/>
        <v>298316.49420554546</v>
      </c>
      <c r="J121" s="162">
        <f t="shared" si="19"/>
        <v>0</v>
      </c>
      <c r="K121" s="162"/>
      <c r="L121" s="335"/>
      <c r="M121" s="162">
        <f t="shared" si="26"/>
        <v>0</v>
      </c>
      <c r="N121" s="335"/>
      <c r="O121" s="162">
        <f t="shared" si="27"/>
        <v>0</v>
      </c>
      <c r="P121" s="162">
        <f t="shared" si="28"/>
        <v>0</v>
      </c>
    </row>
    <row r="122" spans="2:16">
      <c r="B122" s="9" t="str">
        <f t="shared" si="20"/>
        <v/>
      </c>
      <c r="C122" s="157">
        <f>IF(D93="","-",+C121+1)</f>
        <v>2035</v>
      </c>
      <c r="D122" s="158">
        <f>IF(F121+SUM(E$99:E121)=D$92,F121,D$92-SUM(E$99:E121))</f>
        <v>1749223.1400000001</v>
      </c>
      <c r="E122" s="165">
        <f t="shared" si="21"/>
        <v>71865</v>
      </c>
      <c r="F122" s="163">
        <f t="shared" si="22"/>
        <v>1677358.1400000001</v>
      </c>
      <c r="G122" s="163">
        <f t="shared" si="23"/>
        <v>1713290.6400000001</v>
      </c>
      <c r="H122" s="167">
        <f t="shared" si="24"/>
        <v>289200.23774788354</v>
      </c>
      <c r="I122" s="317">
        <f t="shared" si="25"/>
        <v>289200.23774788354</v>
      </c>
      <c r="J122" s="162">
        <f t="shared" si="19"/>
        <v>0</v>
      </c>
      <c r="K122" s="162"/>
      <c r="L122" s="335"/>
      <c r="M122" s="162">
        <f t="shared" si="26"/>
        <v>0</v>
      </c>
      <c r="N122" s="335"/>
      <c r="O122" s="162">
        <f t="shared" si="27"/>
        <v>0</v>
      </c>
      <c r="P122" s="162">
        <f t="shared" si="28"/>
        <v>0</v>
      </c>
    </row>
    <row r="123" spans="2:16">
      <c r="B123" s="9" t="str">
        <f t="shared" si="20"/>
        <v/>
      </c>
      <c r="C123" s="157">
        <f>IF(D93="","-",+C122+1)</f>
        <v>2036</v>
      </c>
      <c r="D123" s="158">
        <f>IF(F122+SUM(E$99:E122)=D$92,F122,D$92-SUM(E$99:E122))</f>
        <v>1677358.1400000001</v>
      </c>
      <c r="E123" s="165">
        <f t="shared" si="21"/>
        <v>71865</v>
      </c>
      <c r="F123" s="163">
        <f t="shared" si="22"/>
        <v>1605493.1400000001</v>
      </c>
      <c r="G123" s="163">
        <f t="shared" si="23"/>
        <v>1641425.6400000001</v>
      </c>
      <c r="H123" s="167">
        <f t="shared" si="24"/>
        <v>280083.98129022168</v>
      </c>
      <c r="I123" s="317">
        <f t="shared" si="25"/>
        <v>280083.98129022168</v>
      </c>
      <c r="J123" s="162">
        <f t="shared" si="19"/>
        <v>0</v>
      </c>
      <c r="K123" s="162"/>
      <c r="L123" s="335"/>
      <c r="M123" s="162">
        <f t="shared" si="26"/>
        <v>0</v>
      </c>
      <c r="N123" s="335"/>
      <c r="O123" s="162">
        <f t="shared" si="27"/>
        <v>0</v>
      </c>
      <c r="P123" s="162">
        <f t="shared" si="28"/>
        <v>0</v>
      </c>
    </row>
    <row r="124" spans="2:16">
      <c r="B124" s="9" t="str">
        <f t="shared" si="20"/>
        <v/>
      </c>
      <c r="C124" s="157">
        <f>IF(D93="","-",+C123+1)</f>
        <v>2037</v>
      </c>
      <c r="D124" s="158">
        <f>IF(F123+SUM(E$99:E123)=D$92,F123,D$92-SUM(E$99:E123))</f>
        <v>1605493.1400000001</v>
      </c>
      <c r="E124" s="165">
        <f t="shared" si="21"/>
        <v>71865</v>
      </c>
      <c r="F124" s="163">
        <f t="shared" si="22"/>
        <v>1533628.1400000001</v>
      </c>
      <c r="G124" s="163">
        <f t="shared" si="23"/>
        <v>1569560.6400000001</v>
      </c>
      <c r="H124" s="167">
        <f t="shared" si="24"/>
        <v>270967.72483255982</v>
      </c>
      <c r="I124" s="317">
        <f t="shared" si="25"/>
        <v>270967.72483255982</v>
      </c>
      <c r="J124" s="162">
        <f t="shared" si="19"/>
        <v>0</v>
      </c>
      <c r="K124" s="162"/>
      <c r="L124" s="335"/>
      <c r="M124" s="162">
        <f t="shared" si="26"/>
        <v>0</v>
      </c>
      <c r="N124" s="335"/>
      <c r="O124" s="162">
        <f t="shared" si="27"/>
        <v>0</v>
      </c>
      <c r="P124" s="162">
        <f t="shared" si="28"/>
        <v>0</v>
      </c>
    </row>
    <row r="125" spans="2:16">
      <c r="B125" s="9" t="str">
        <f t="shared" si="20"/>
        <v/>
      </c>
      <c r="C125" s="157">
        <f>IF(D93="","-",+C124+1)</f>
        <v>2038</v>
      </c>
      <c r="D125" s="158">
        <f>IF(F124+SUM(E$99:E124)=D$92,F124,D$92-SUM(E$99:E124))</f>
        <v>1533628.1400000001</v>
      </c>
      <c r="E125" s="165">
        <f t="shared" si="21"/>
        <v>71865</v>
      </c>
      <c r="F125" s="163">
        <f t="shared" si="22"/>
        <v>1461763.1400000001</v>
      </c>
      <c r="G125" s="163">
        <f t="shared" si="23"/>
        <v>1497695.6400000001</v>
      </c>
      <c r="H125" s="167">
        <f t="shared" si="24"/>
        <v>261851.46837489793</v>
      </c>
      <c r="I125" s="317">
        <f t="shared" si="25"/>
        <v>261851.46837489793</v>
      </c>
      <c r="J125" s="162">
        <f t="shared" si="19"/>
        <v>0</v>
      </c>
      <c r="K125" s="162"/>
      <c r="L125" s="335"/>
      <c r="M125" s="162">
        <f t="shared" si="26"/>
        <v>0</v>
      </c>
      <c r="N125" s="335"/>
      <c r="O125" s="162">
        <f t="shared" si="27"/>
        <v>0</v>
      </c>
      <c r="P125" s="162">
        <f t="shared" si="28"/>
        <v>0</v>
      </c>
    </row>
    <row r="126" spans="2:16">
      <c r="B126" s="9" t="str">
        <f t="shared" si="20"/>
        <v/>
      </c>
      <c r="C126" s="157">
        <f>IF(D93="","-",+C125+1)</f>
        <v>2039</v>
      </c>
      <c r="D126" s="158">
        <f>IF(F125+SUM(E$99:E125)=D$92,F125,D$92-SUM(E$99:E125))</f>
        <v>1461763.1400000001</v>
      </c>
      <c r="E126" s="165">
        <f t="shared" si="21"/>
        <v>71865</v>
      </c>
      <c r="F126" s="163">
        <f t="shared" si="22"/>
        <v>1389898.1400000001</v>
      </c>
      <c r="G126" s="163">
        <f t="shared" si="23"/>
        <v>1425830.6400000001</v>
      </c>
      <c r="H126" s="167">
        <f t="shared" si="24"/>
        <v>252735.21191723607</v>
      </c>
      <c r="I126" s="317">
        <f t="shared" si="25"/>
        <v>252735.21191723607</v>
      </c>
      <c r="J126" s="162">
        <f t="shared" si="19"/>
        <v>0</v>
      </c>
      <c r="K126" s="162"/>
      <c r="L126" s="335"/>
      <c r="M126" s="162">
        <f t="shared" si="26"/>
        <v>0</v>
      </c>
      <c r="N126" s="335"/>
      <c r="O126" s="162">
        <f t="shared" si="27"/>
        <v>0</v>
      </c>
      <c r="P126" s="162">
        <f t="shared" si="28"/>
        <v>0</v>
      </c>
    </row>
    <row r="127" spans="2:16">
      <c r="B127" s="9" t="str">
        <f t="shared" si="20"/>
        <v/>
      </c>
      <c r="C127" s="157">
        <f>IF(D93="","-",+C126+1)</f>
        <v>2040</v>
      </c>
      <c r="D127" s="158">
        <f>IF(F126+SUM(E$99:E126)=D$92,F126,D$92-SUM(E$99:E126))</f>
        <v>1389898.1400000001</v>
      </c>
      <c r="E127" s="165">
        <f t="shared" si="21"/>
        <v>71865</v>
      </c>
      <c r="F127" s="163">
        <f t="shared" si="22"/>
        <v>1318033.1400000001</v>
      </c>
      <c r="G127" s="163">
        <f t="shared" si="23"/>
        <v>1353965.6400000001</v>
      </c>
      <c r="H127" s="167">
        <f t="shared" si="24"/>
        <v>243618.95545957418</v>
      </c>
      <c r="I127" s="317">
        <f t="shared" si="25"/>
        <v>243618.95545957418</v>
      </c>
      <c r="J127" s="162">
        <f t="shared" si="19"/>
        <v>0</v>
      </c>
      <c r="K127" s="162"/>
      <c r="L127" s="335"/>
      <c r="M127" s="162">
        <f t="shared" si="26"/>
        <v>0</v>
      </c>
      <c r="N127" s="335"/>
      <c r="O127" s="162">
        <f t="shared" si="27"/>
        <v>0</v>
      </c>
      <c r="P127" s="162">
        <f t="shared" si="28"/>
        <v>0</v>
      </c>
    </row>
    <row r="128" spans="2:16">
      <c r="B128" s="9" t="str">
        <f t="shared" si="20"/>
        <v/>
      </c>
      <c r="C128" s="157">
        <f>IF(D93="","-",+C127+1)</f>
        <v>2041</v>
      </c>
      <c r="D128" s="158">
        <f>IF(F127+SUM(E$99:E127)=D$92,F127,D$92-SUM(E$99:E127))</f>
        <v>1318033.1400000001</v>
      </c>
      <c r="E128" s="165">
        <f t="shared" si="21"/>
        <v>71865</v>
      </c>
      <c r="F128" s="163">
        <f t="shared" si="22"/>
        <v>1246168.1400000001</v>
      </c>
      <c r="G128" s="163">
        <f t="shared" si="23"/>
        <v>1282100.6400000001</v>
      </c>
      <c r="H128" s="167">
        <f t="shared" si="24"/>
        <v>234502.69900191232</v>
      </c>
      <c r="I128" s="317">
        <f t="shared" si="25"/>
        <v>234502.69900191232</v>
      </c>
      <c r="J128" s="162">
        <f t="shared" si="19"/>
        <v>0</v>
      </c>
      <c r="K128" s="162"/>
      <c r="L128" s="335"/>
      <c r="M128" s="162">
        <f t="shared" si="26"/>
        <v>0</v>
      </c>
      <c r="N128" s="335"/>
      <c r="O128" s="162">
        <f t="shared" si="27"/>
        <v>0</v>
      </c>
      <c r="P128" s="162">
        <f t="shared" si="28"/>
        <v>0</v>
      </c>
    </row>
    <row r="129" spans="2:16">
      <c r="B129" s="9" t="str">
        <f t="shared" si="20"/>
        <v/>
      </c>
      <c r="C129" s="157">
        <f>IF(D93="","-",+C128+1)</f>
        <v>2042</v>
      </c>
      <c r="D129" s="158">
        <f>IF(F128+SUM(E$99:E128)=D$92,F128,D$92-SUM(E$99:E128))</f>
        <v>1246168.1400000001</v>
      </c>
      <c r="E129" s="165">
        <f t="shared" si="21"/>
        <v>71865</v>
      </c>
      <c r="F129" s="163">
        <f t="shared" si="22"/>
        <v>1174303.1400000001</v>
      </c>
      <c r="G129" s="163">
        <f t="shared" si="23"/>
        <v>1210235.6400000001</v>
      </c>
      <c r="H129" s="167">
        <f t="shared" si="24"/>
        <v>225386.44254425043</v>
      </c>
      <c r="I129" s="317">
        <f t="shared" si="25"/>
        <v>225386.44254425043</v>
      </c>
      <c r="J129" s="162">
        <f t="shared" si="19"/>
        <v>0</v>
      </c>
      <c r="K129" s="162"/>
      <c r="L129" s="335"/>
      <c r="M129" s="162">
        <f t="shared" si="26"/>
        <v>0</v>
      </c>
      <c r="N129" s="335"/>
      <c r="O129" s="162">
        <f t="shared" si="27"/>
        <v>0</v>
      </c>
      <c r="P129" s="162">
        <f t="shared" si="28"/>
        <v>0</v>
      </c>
    </row>
    <row r="130" spans="2:16">
      <c r="B130" s="9" t="str">
        <f t="shared" si="20"/>
        <v/>
      </c>
      <c r="C130" s="157">
        <f>IF(D93="","-",+C129+1)</f>
        <v>2043</v>
      </c>
      <c r="D130" s="158">
        <f>IF(F129+SUM(E$99:E129)=D$92,F129,D$92-SUM(E$99:E129))</f>
        <v>1174303.1400000001</v>
      </c>
      <c r="E130" s="165">
        <f t="shared" si="21"/>
        <v>71865</v>
      </c>
      <c r="F130" s="163">
        <f t="shared" si="22"/>
        <v>1102438.1400000001</v>
      </c>
      <c r="G130" s="163">
        <f t="shared" si="23"/>
        <v>1138370.6400000001</v>
      </c>
      <c r="H130" s="167">
        <f t="shared" si="24"/>
        <v>216270.18608658854</v>
      </c>
      <c r="I130" s="317">
        <f t="shared" si="25"/>
        <v>216270.18608658854</v>
      </c>
      <c r="J130" s="162">
        <f t="shared" si="19"/>
        <v>0</v>
      </c>
      <c r="K130" s="162"/>
      <c r="L130" s="335"/>
      <c r="M130" s="162">
        <f t="shared" si="26"/>
        <v>0</v>
      </c>
      <c r="N130" s="335"/>
      <c r="O130" s="162">
        <f t="shared" si="27"/>
        <v>0</v>
      </c>
      <c r="P130" s="162">
        <f t="shared" si="28"/>
        <v>0</v>
      </c>
    </row>
    <row r="131" spans="2:16">
      <c r="B131" s="9" t="str">
        <f t="shared" si="20"/>
        <v/>
      </c>
      <c r="C131" s="157">
        <f>IF(D93="","-",+C130+1)</f>
        <v>2044</v>
      </c>
      <c r="D131" s="158">
        <f>IF(F130+SUM(E$99:E130)=D$92,F130,D$92-SUM(E$99:E130))</f>
        <v>1102438.1400000001</v>
      </c>
      <c r="E131" s="165">
        <f t="shared" si="21"/>
        <v>71865</v>
      </c>
      <c r="F131" s="163">
        <f t="shared" si="22"/>
        <v>1030573.1400000001</v>
      </c>
      <c r="G131" s="163">
        <f t="shared" si="23"/>
        <v>1066505.6400000001</v>
      </c>
      <c r="H131" s="167">
        <f t="shared" ref="H131:H154" si="29">+J$94*G131+E131</f>
        <v>207153.92962892668</v>
      </c>
      <c r="I131" s="317">
        <f t="shared" ref="I131:I154" si="30">+J$95*G131+E131</f>
        <v>207153.92962892668</v>
      </c>
      <c r="J131" s="162">
        <f t="shared" ref="J131:J154" si="31">+I541-H541</f>
        <v>0</v>
      </c>
      <c r="K131" s="162"/>
      <c r="L131" s="335"/>
      <c r="M131" s="162">
        <f t="shared" ref="M131:M154" si="32">IF(L541&lt;&gt;0,+H541-L541,0)</f>
        <v>0</v>
      </c>
      <c r="N131" s="335"/>
      <c r="O131" s="162">
        <f t="shared" ref="O131:O154" si="33">IF(N541&lt;&gt;0,+I541-N541,0)</f>
        <v>0</v>
      </c>
      <c r="P131" s="162">
        <f t="shared" ref="P131:P154" si="34">+O541-M541</f>
        <v>0</v>
      </c>
    </row>
    <row r="132" spans="2:16">
      <c r="B132" s="9" t="str">
        <f t="shared" ref="B132:B154" si="35">IF(D132=F131,"","IU")</f>
        <v/>
      </c>
      <c r="C132" s="157">
        <f>IF(D93="","-",+C131+1)</f>
        <v>2045</v>
      </c>
      <c r="D132" s="158">
        <f>IF(F131+SUM(E$99:E131)=D$92,F131,D$92-SUM(E$99:E131))</f>
        <v>1030573.1400000001</v>
      </c>
      <c r="E132" s="165">
        <f t="shared" si="21"/>
        <v>71865</v>
      </c>
      <c r="F132" s="163">
        <f t="shared" si="22"/>
        <v>958708.14000000013</v>
      </c>
      <c r="G132" s="163">
        <f t="shared" si="23"/>
        <v>994640.64000000013</v>
      </c>
      <c r="H132" s="167">
        <f t="shared" si="29"/>
        <v>198037.67317126482</v>
      </c>
      <c r="I132" s="317">
        <f t="shared" si="30"/>
        <v>198037.67317126482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35"/>
        <v/>
      </c>
      <c r="C133" s="157">
        <f>IF(D93="","-",+C132+1)</f>
        <v>2046</v>
      </c>
      <c r="D133" s="158">
        <f>IF(F132+SUM(E$99:E132)=D$92,F132,D$92-SUM(E$99:E132))</f>
        <v>958708.14000000013</v>
      </c>
      <c r="E133" s="165">
        <f t="shared" si="21"/>
        <v>71865</v>
      </c>
      <c r="F133" s="163">
        <f t="shared" si="22"/>
        <v>886843.14000000013</v>
      </c>
      <c r="G133" s="163">
        <f t="shared" si="23"/>
        <v>922775.64000000013</v>
      </c>
      <c r="H133" s="167">
        <f t="shared" si="29"/>
        <v>188921.4167136029</v>
      </c>
      <c r="I133" s="317">
        <f t="shared" si="30"/>
        <v>188921.4167136029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35"/>
        <v/>
      </c>
      <c r="C134" s="157">
        <f>IF(D93="","-",+C133+1)</f>
        <v>2047</v>
      </c>
      <c r="D134" s="158">
        <f>IF(F133+SUM(E$99:E133)=D$92,F133,D$92-SUM(E$99:E133))</f>
        <v>886843.14000000013</v>
      </c>
      <c r="E134" s="165">
        <f t="shared" si="21"/>
        <v>71865</v>
      </c>
      <c r="F134" s="163">
        <f t="shared" si="22"/>
        <v>814978.14000000013</v>
      </c>
      <c r="G134" s="163">
        <f t="shared" si="23"/>
        <v>850910.64000000013</v>
      </c>
      <c r="H134" s="167">
        <f t="shared" si="29"/>
        <v>179805.16025594104</v>
      </c>
      <c r="I134" s="317">
        <f t="shared" si="30"/>
        <v>179805.16025594104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35"/>
        <v/>
      </c>
      <c r="C135" s="157">
        <f>IF(D93="","-",+C134+1)</f>
        <v>2048</v>
      </c>
      <c r="D135" s="158">
        <f>IF(F134+SUM(E$99:E134)=D$92,F134,D$92-SUM(E$99:E134))</f>
        <v>814978.14000000013</v>
      </c>
      <c r="E135" s="165">
        <f t="shared" si="21"/>
        <v>71865</v>
      </c>
      <c r="F135" s="163">
        <f t="shared" si="22"/>
        <v>743113.14000000013</v>
      </c>
      <c r="G135" s="163">
        <f t="shared" si="23"/>
        <v>779045.64000000013</v>
      </c>
      <c r="H135" s="167">
        <f t="shared" si="29"/>
        <v>170688.90379827918</v>
      </c>
      <c r="I135" s="317">
        <f t="shared" si="30"/>
        <v>170688.90379827918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35"/>
        <v/>
      </c>
      <c r="C136" s="157">
        <f>IF(D93="","-",+C135+1)</f>
        <v>2049</v>
      </c>
      <c r="D136" s="158">
        <f>IF(F135+SUM(E$99:E135)=D$92,F135,D$92-SUM(E$99:E135))</f>
        <v>743113.14000000013</v>
      </c>
      <c r="E136" s="165">
        <f t="shared" si="21"/>
        <v>71865</v>
      </c>
      <c r="F136" s="163">
        <f t="shared" si="22"/>
        <v>671248.14000000013</v>
      </c>
      <c r="G136" s="163">
        <f t="shared" si="23"/>
        <v>707180.64000000013</v>
      </c>
      <c r="H136" s="167">
        <f t="shared" si="29"/>
        <v>161572.64734061729</v>
      </c>
      <c r="I136" s="317">
        <f t="shared" si="30"/>
        <v>161572.64734061729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35"/>
        <v/>
      </c>
      <c r="C137" s="157">
        <f>IF(D93="","-",+C136+1)</f>
        <v>2050</v>
      </c>
      <c r="D137" s="158">
        <f>IF(F136+SUM(E$99:E136)=D$92,F136,D$92-SUM(E$99:E136))</f>
        <v>671248.14000000013</v>
      </c>
      <c r="E137" s="165">
        <f t="shared" si="21"/>
        <v>71865</v>
      </c>
      <c r="F137" s="163">
        <f t="shared" si="22"/>
        <v>599383.14000000013</v>
      </c>
      <c r="G137" s="163">
        <f t="shared" si="23"/>
        <v>635315.64000000013</v>
      </c>
      <c r="H137" s="167">
        <f t="shared" si="29"/>
        <v>152456.3908829554</v>
      </c>
      <c r="I137" s="317">
        <f t="shared" si="30"/>
        <v>152456.3908829554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35"/>
        <v/>
      </c>
      <c r="C138" s="157">
        <f>IF(D93="","-",+C137+1)</f>
        <v>2051</v>
      </c>
      <c r="D138" s="158">
        <f>IF(F137+SUM(E$99:E137)=D$92,F137,D$92-SUM(E$99:E137))</f>
        <v>599383.14000000013</v>
      </c>
      <c r="E138" s="165">
        <f t="shared" si="21"/>
        <v>71865</v>
      </c>
      <c r="F138" s="163">
        <f t="shared" si="22"/>
        <v>527518.14000000013</v>
      </c>
      <c r="G138" s="163">
        <f t="shared" si="23"/>
        <v>563450.64000000013</v>
      </c>
      <c r="H138" s="167">
        <f t="shared" si="29"/>
        <v>143340.13442529354</v>
      </c>
      <c r="I138" s="317">
        <f t="shared" si="30"/>
        <v>143340.13442529354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35"/>
        <v/>
      </c>
      <c r="C139" s="157">
        <f>IF(D93="","-",+C138+1)</f>
        <v>2052</v>
      </c>
      <c r="D139" s="158">
        <f>IF(F138+SUM(E$99:E138)=D$92,F138,D$92-SUM(E$99:E138))</f>
        <v>527518.14000000013</v>
      </c>
      <c r="E139" s="165">
        <f t="shared" si="21"/>
        <v>71865</v>
      </c>
      <c r="F139" s="163">
        <f t="shared" si="22"/>
        <v>455653.14000000013</v>
      </c>
      <c r="G139" s="163">
        <f t="shared" si="23"/>
        <v>491585.64000000013</v>
      </c>
      <c r="H139" s="167">
        <f t="shared" si="29"/>
        <v>134223.87796763165</v>
      </c>
      <c r="I139" s="317">
        <f t="shared" si="30"/>
        <v>134223.87796763165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35"/>
        <v/>
      </c>
      <c r="C140" s="157">
        <f>IF(D93="","-",+C139+1)</f>
        <v>2053</v>
      </c>
      <c r="D140" s="158">
        <f>IF(F139+SUM(E$99:E139)=D$92,F139,D$92-SUM(E$99:E139))</f>
        <v>455653.14000000013</v>
      </c>
      <c r="E140" s="165">
        <f t="shared" si="21"/>
        <v>71865</v>
      </c>
      <c r="F140" s="163">
        <f t="shared" si="22"/>
        <v>383788.14000000013</v>
      </c>
      <c r="G140" s="163">
        <f t="shared" si="23"/>
        <v>419720.64000000013</v>
      </c>
      <c r="H140" s="167">
        <f t="shared" si="29"/>
        <v>125107.62150996977</v>
      </c>
      <c r="I140" s="317">
        <f t="shared" si="30"/>
        <v>125107.62150996977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35"/>
        <v/>
      </c>
      <c r="C141" s="157">
        <f>IF(D93="","-",+C140+1)</f>
        <v>2054</v>
      </c>
      <c r="D141" s="158">
        <f>IF(F140+SUM(E$99:E140)=D$92,F140,D$92-SUM(E$99:E140))</f>
        <v>383788.14000000013</v>
      </c>
      <c r="E141" s="165">
        <f t="shared" si="21"/>
        <v>71865</v>
      </c>
      <c r="F141" s="163">
        <f t="shared" si="22"/>
        <v>311923.14000000013</v>
      </c>
      <c r="G141" s="163">
        <f t="shared" si="23"/>
        <v>347855.64000000013</v>
      </c>
      <c r="H141" s="167">
        <f t="shared" si="29"/>
        <v>115991.3650523079</v>
      </c>
      <c r="I141" s="317">
        <f t="shared" si="30"/>
        <v>115991.3650523079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35"/>
        <v/>
      </c>
      <c r="C142" s="157">
        <f>IF(D93="","-",+C141+1)</f>
        <v>2055</v>
      </c>
      <c r="D142" s="158">
        <f>IF(F141+SUM(E$99:E141)=D$92,F141,D$92-SUM(E$99:E141))</f>
        <v>311923.14000000013</v>
      </c>
      <c r="E142" s="165">
        <f t="shared" si="21"/>
        <v>71865</v>
      </c>
      <c r="F142" s="163">
        <f t="shared" si="22"/>
        <v>240058.14000000013</v>
      </c>
      <c r="G142" s="163">
        <f t="shared" si="23"/>
        <v>275990.64000000013</v>
      </c>
      <c r="H142" s="167">
        <f t="shared" si="29"/>
        <v>106875.10859464601</v>
      </c>
      <c r="I142" s="317">
        <f t="shared" si="30"/>
        <v>106875.10859464601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35"/>
        <v/>
      </c>
      <c r="C143" s="157">
        <f>IF(D93="","-",+C142+1)</f>
        <v>2056</v>
      </c>
      <c r="D143" s="158">
        <f>IF(F142+SUM(E$99:E142)=D$92,F142,D$92-SUM(E$99:E142))</f>
        <v>240058.14000000013</v>
      </c>
      <c r="E143" s="165">
        <f t="shared" si="21"/>
        <v>71865</v>
      </c>
      <c r="F143" s="163">
        <f t="shared" si="22"/>
        <v>168193.14000000013</v>
      </c>
      <c r="G143" s="163">
        <f t="shared" si="23"/>
        <v>204125.64000000013</v>
      </c>
      <c r="H143" s="167">
        <f t="shared" si="29"/>
        <v>97758.852136984133</v>
      </c>
      <c r="I143" s="317">
        <f t="shared" si="30"/>
        <v>97758.852136984133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35"/>
        <v/>
      </c>
      <c r="C144" s="157">
        <f>IF(D93="","-",+C143+1)</f>
        <v>2057</v>
      </c>
      <c r="D144" s="158">
        <f>IF(F143+SUM(E$99:E143)=D$92,F143,D$92-SUM(E$99:E143))</f>
        <v>168193.14000000013</v>
      </c>
      <c r="E144" s="165">
        <f t="shared" si="21"/>
        <v>71865</v>
      </c>
      <c r="F144" s="163">
        <f t="shared" si="22"/>
        <v>96328.14000000013</v>
      </c>
      <c r="G144" s="163">
        <f t="shared" si="23"/>
        <v>132260.64000000013</v>
      </c>
      <c r="H144" s="167">
        <f t="shared" si="29"/>
        <v>88642.595679322258</v>
      </c>
      <c r="I144" s="317">
        <f t="shared" si="30"/>
        <v>88642.595679322258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35"/>
        <v/>
      </c>
      <c r="C145" s="157">
        <f>IF(D93="","-",+C144+1)</f>
        <v>2058</v>
      </c>
      <c r="D145" s="158">
        <f>IF(F144+SUM(E$99:E144)=D$92,F144,D$92-SUM(E$99:E144))</f>
        <v>96328.14000000013</v>
      </c>
      <c r="E145" s="165">
        <f t="shared" si="21"/>
        <v>71865</v>
      </c>
      <c r="F145" s="163">
        <f t="shared" si="22"/>
        <v>24463.14000000013</v>
      </c>
      <c r="G145" s="163">
        <f t="shared" si="23"/>
        <v>60395.64000000013</v>
      </c>
      <c r="H145" s="167">
        <f t="shared" si="29"/>
        <v>79526.339221660382</v>
      </c>
      <c r="I145" s="317">
        <f t="shared" si="30"/>
        <v>79526.339221660382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35"/>
        <v/>
      </c>
      <c r="C146" s="157">
        <f>IF(D93="","-",+C145+1)</f>
        <v>2059</v>
      </c>
      <c r="D146" s="158">
        <f>IF(F145+SUM(E$99:E145)=D$92,F145,D$92-SUM(E$99:E145))</f>
        <v>24463.14000000013</v>
      </c>
      <c r="E146" s="165">
        <f t="shared" si="21"/>
        <v>24463.14000000013</v>
      </c>
      <c r="F146" s="163">
        <f t="shared" si="22"/>
        <v>0</v>
      </c>
      <c r="G146" s="163">
        <f t="shared" si="23"/>
        <v>12231.570000000065</v>
      </c>
      <c r="H146" s="167">
        <f t="shared" si="29"/>
        <v>26014.745496414849</v>
      </c>
      <c r="I146" s="317">
        <f t="shared" si="30"/>
        <v>26014.745496414849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35"/>
        <v/>
      </c>
      <c r="C147" s="157">
        <f>IF(D93="","-",+C146+1)</f>
        <v>2060</v>
      </c>
      <c r="D147" s="158">
        <f>IF(F146+SUM(E$99:E146)=D$92,F146,D$92-SUM(E$99:E146))</f>
        <v>0</v>
      </c>
      <c r="E147" s="165">
        <f t="shared" si="21"/>
        <v>0</v>
      </c>
      <c r="F147" s="163">
        <f t="shared" si="22"/>
        <v>0</v>
      </c>
      <c r="G147" s="163">
        <f t="shared" si="23"/>
        <v>0</v>
      </c>
      <c r="H147" s="167">
        <f t="shared" si="29"/>
        <v>0</v>
      </c>
      <c r="I147" s="317">
        <f t="shared" si="30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35"/>
        <v/>
      </c>
      <c r="C148" s="157">
        <f>IF(D93="","-",+C147+1)</f>
        <v>2061</v>
      </c>
      <c r="D148" s="158">
        <f>IF(F147+SUM(E$99:E147)=D$92,F147,D$92-SUM(E$99:E147))</f>
        <v>0</v>
      </c>
      <c r="E148" s="165">
        <f t="shared" si="21"/>
        <v>0</v>
      </c>
      <c r="F148" s="163">
        <f t="shared" si="22"/>
        <v>0</v>
      </c>
      <c r="G148" s="163">
        <f t="shared" si="23"/>
        <v>0</v>
      </c>
      <c r="H148" s="167">
        <f t="shared" si="29"/>
        <v>0</v>
      </c>
      <c r="I148" s="317">
        <f t="shared" si="30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35"/>
        <v/>
      </c>
      <c r="C149" s="157">
        <f>IF(D93="","-",+C148+1)</f>
        <v>2062</v>
      </c>
      <c r="D149" s="158">
        <f>IF(F148+SUM(E$99:E148)=D$92,F148,D$92-SUM(E$99:E148))</f>
        <v>0</v>
      </c>
      <c r="E149" s="165">
        <f t="shared" si="21"/>
        <v>0</v>
      </c>
      <c r="F149" s="163">
        <f t="shared" si="22"/>
        <v>0</v>
      </c>
      <c r="G149" s="163">
        <f t="shared" si="23"/>
        <v>0</v>
      </c>
      <c r="H149" s="167">
        <f t="shared" si="29"/>
        <v>0</v>
      </c>
      <c r="I149" s="317">
        <f t="shared" si="30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35"/>
        <v/>
      </c>
      <c r="C150" s="157">
        <f>IF(D93="","-",+C149+1)</f>
        <v>2063</v>
      </c>
      <c r="D150" s="158">
        <f>IF(F149+SUM(E$99:E149)=D$92,F149,D$92-SUM(E$99:E149))</f>
        <v>0</v>
      </c>
      <c r="E150" s="165">
        <f t="shared" si="21"/>
        <v>0</v>
      </c>
      <c r="F150" s="163">
        <f t="shared" si="22"/>
        <v>0</v>
      </c>
      <c r="G150" s="163">
        <f t="shared" si="23"/>
        <v>0</v>
      </c>
      <c r="H150" s="167">
        <f t="shared" si="29"/>
        <v>0</v>
      </c>
      <c r="I150" s="317">
        <f t="shared" si="30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35"/>
        <v/>
      </c>
      <c r="C151" s="157">
        <f>IF(D93="","-",+C150+1)</f>
        <v>2064</v>
      </c>
      <c r="D151" s="158">
        <f>IF(F150+SUM(E$99:E150)=D$92,F150,D$92-SUM(E$99:E150))</f>
        <v>0</v>
      </c>
      <c r="E151" s="165">
        <f t="shared" si="21"/>
        <v>0</v>
      </c>
      <c r="F151" s="163">
        <f t="shared" si="22"/>
        <v>0</v>
      </c>
      <c r="G151" s="163">
        <f t="shared" si="23"/>
        <v>0</v>
      </c>
      <c r="H151" s="167">
        <f t="shared" si="29"/>
        <v>0</v>
      </c>
      <c r="I151" s="317">
        <f t="shared" si="30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35"/>
        <v/>
      </c>
      <c r="C152" s="157">
        <f>IF(D93="","-",+C151+1)</f>
        <v>2065</v>
      </c>
      <c r="D152" s="158">
        <f>IF(F151+SUM(E$99:E151)=D$92,F151,D$92-SUM(E$99:E151))</f>
        <v>0</v>
      </c>
      <c r="E152" s="165">
        <f t="shared" si="21"/>
        <v>0</v>
      </c>
      <c r="F152" s="163">
        <f t="shared" si="22"/>
        <v>0</v>
      </c>
      <c r="G152" s="163">
        <f t="shared" si="23"/>
        <v>0</v>
      </c>
      <c r="H152" s="167">
        <f t="shared" si="29"/>
        <v>0</v>
      </c>
      <c r="I152" s="317">
        <f t="shared" si="30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35"/>
        <v/>
      </c>
      <c r="C153" s="157">
        <f>IF(D93="","-",+C152+1)</f>
        <v>2066</v>
      </c>
      <c r="D153" s="158">
        <f>IF(F152+SUM(E$99:E152)=D$92,F152,D$92-SUM(E$99:E152))</f>
        <v>0</v>
      </c>
      <c r="E153" s="165">
        <f t="shared" si="21"/>
        <v>0</v>
      </c>
      <c r="F153" s="163">
        <f t="shared" si="22"/>
        <v>0</v>
      </c>
      <c r="G153" s="163">
        <f t="shared" si="23"/>
        <v>0</v>
      </c>
      <c r="H153" s="167">
        <f t="shared" si="29"/>
        <v>0</v>
      </c>
      <c r="I153" s="317">
        <f t="shared" si="30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35"/>
        <v/>
      </c>
      <c r="C154" s="168">
        <f>IF(D93="","-",+C153+1)</f>
        <v>2067</v>
      </c>
      <c r="D154" s="219">
        <f>IF(F153+SUM(E$99:E153)=D$92,F153,D$92-SUM(E$99:E153))</f>
        <v>0</v>
      </c>
      <c r="E154" s="377">
        <f t="shared" si="21"/>
        <v>0</v>
      </c>
      <c r="F154" s="169">
        <f t="shared" si="22"/>
        <v>0</v>
      </c>
      <c r="G154" s="169">
        <f t="shared" si="23"/>
        <v>0</v>
      </c>
      <c r="H154" s="171">
        <f t="shared" si="29"/>
        <v>0</v>
      </c>
      <c r="I154" s="318">
        <f t="shared" si="30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3305767.14</v>
      </c>
      <c r="F155" s="115"/>
      <c r="G155" s="115"/>
      <c r="H155" s="115">
        <f>SUM(H99:H154)</f>
        <v>13253798.776277313</v>
      </c>
      <c r="I155" s="115">
        <f>SUM(I99:I154)</f>
        <v>13253798.776277313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8:C72">
    <cfRule type="cellIs" dxfId="36" priority="2" stopIfTrue="1" operator="equal">
      <formula>$I$10</formula>
    </cfRule>
  </conditionalFormatting>
  <conditionalFormatting sqref="C99:C154">
    <cfRule type="cellIs" dxfId="35" priority="3" stopIfTrue="1" operator="equal">
      <formula>$J$92</formula>
    </cfRule>
  </conditionalFormatting>
  <conditionalFormatting sqref="C17">
    <cfRule type="cellIs" dxfId="34" priority="1" stopIfTrue="1" operator="equal">
      <formula>$I$10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13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2666.8814890183439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2666.8814890183439</v>
      </c>
      <c r="O6" s="1"/>
      <c r="P6" s="1"/>
    </row>
    <row r="7" spans="1:16" ht="13.5" thickBot="1">
      <c r="C7" s="127" t="s">
        <v>41</v>
      </c>
      <c r="D7" s="343" t="s">
        <v>249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229</v>
      </c>
      <c r="E9" s="428" t="s">
        <v>313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22097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552.42499999999995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6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D11</f>
        <v>2010</v>
      </c>
      <c r="D17" s="366">
        <v>0</v>
      </c>
      <c r="E17" s="371">
        <v>0</v>
      </c>
      <c r="F17" s="371">
        <v>0</v>
      </c>
      <c r="G17" s="371">
        <v>0</v>
      </c>
      <c r="H17" s="409">
        <v>0</v>
      </c>
      <c r="I17" s="160">
        <f t="shared" ref="I17:I48" si="0">H17-G17</f>
        <v>0</v>
      </c>
      <c r="J17" s="175"/>
      <c r="K17" s="338">
        <f t="shared" ref="K17:K22" si="1">G17</f>
        <v>0</v>
      </c>
      <c r="L17" s="408">
        <f t="shared" ref="L17:L48" si="2">IF(K17&lt;&gt;0,+G17-K17,0)</f>
        <v>0</v>
      </c>
      <c r="M17" s="338">
        <f t="shared" ref="M17:M22" si="3">H17</f>
        <v>0</v>
      </c>
      <c r="N17" s="358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/>
      </c>
      <c r="C18" s="157">
        <f>IF($D$11="","-",+C17+1)</f>
        <v>2011</v>
      </c>
      <c r="D18" s="366">
        <v>0</v>
      </c>
      <c r="E18" s="371">
        <v>0</v>
      </c>
      <c r="F18" s="371">
        <v>0</v>
      </c>
      <c r="G18" s="371">
        <v>0</v>
      </c>
      <c r="H18" s="409">
        <v>0</v>
      </c>
      <c r="I18" s="160">
        <f t="shared" si="0"/>
        <v>0</v>
      </c>
      <c r="J18" s="175"/>
      <c r="K18" s="338">
        <f t="shared" si="1"/>
        <v>0</v>
      </c>
      <c r="L18" s="175">
        <f t="shared" si="2"/>
        <v>0</v>
      </c>
      <c r="M18" s="338">
        <f t="shared" si="3"/>
        <v>0</v>
      </c>
      <c r="N18" s="160">
        <f t="shared" si="4"/>
        <v>0</v>
      </c>
      <c r="O18" s="162">
        <f t="shared" si="5"/>
        <v>0</v>
      </c>
      <c r="P18" s="4"/>
    </row>
    <row r="19" spans="2:16">
      <c r="B19" s="9" t="str">
        <f t="shared" si="6"/>
        <v>IU</v>
      </c>
      <c r="C19" s="157">
        <f>IF(D11="","-",+C18+1)</f>
        <v>2012</v>
      </c>
      <c r="D19" s="366">
        <v>22097</v>
      </c>
      <c r="E19" s="368">
        <v>212.47115384615381</v>
      </c>
      <c r="F19" s="366">
        <v>21884.528846153848</v>
      </c>
      <c r="G19" s="368">
        <v>3258.944937760969</v>
      </c>
      <c r="H19" s="370">
        <v>3258.944937760969</v>
      </c>
      <c r="I19" s="160">
        <f>H19-G19</f>
        <v>0</v>
      </c>
      <c r="J19" s="175"/>
      <c r="K19" s="338">
        <f t="shared" si="1"/>
        <v>3258.944937760969</v>
      </c>
      <c r="L19" s="175">
        <f t="shared" si="2"/>
        <v>0</v>
      </c>
      <c r="M19" s="338">
        <f t="shared" si="3"/>
        <v>3258.944937760969</v>
      </c>
      <c r="N19" s="160">
        <f t="shared" si="4"/>
        <v>0</v>
      </c>
      <c r="O19" s="162">
        <f t="shared" si="5"/>
        <v>0</v>
      </c>
      <c r="P19" s="4"/>
    </row>
    <row r="20" spans="2:16">
      <c r="B20" s="9" t="str">
        <f t="shared" si="6"/>
        <v/>
      </c>
      <c r="C20" s="157">
        <f>IF(D11="","-",+C19+1)</f>
        <v>2013</v>
      </c>
      <c r="D20" s="366">
        <v>21884.528846153848</v>
      </c>
      <c r="E20" s="368">
        <v>424.94230769230768</v>
      </c>
      <c r="F20" s="366">
        <v>21459.586538461539</v>
      </c>
      <c r="G20" s="368">
        <v>3489.9423076923076</v>
      </c>
      <c r="H20" s="370">
        <v>3489.9423076923076</v>
      </c>
      <c r="I20" s="160">
        <v>0</v>
      </c>
      <c r="J20" s="160"/>
      <c r="K20" s="338">
        <f t="shared" si="1"/>
        <v>3489.9423076923076</v>
      </c>
      <c r="L20" s="175">
        <f t="shared" ref="L20:L25" si="7">IF(K20&lt;&gt;0,+G20-K20,0)</f>
        <v>0</v>
      </c>
      <c r="M20" s="338">
        <f t="shared" si="3"/>
        <v>3489.9423076923076</v>
      </c>
      <c r="N20" s="160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66">
        <v>21459.586538461539</v>
      </c>
      <c r="E21" s="368">
        <v>424.94230769230768</v>
      </c>
      <c r="F21" s="366">
        <v>21034.64423076923</v>
      </c>
      <c r="G21" s="368">
        <v>3320.9423076923076</v>
      </c>
      <c r="H21" s="370">
        <v>3320.9423076923076</v>
      </c>
      <c r="I21" s="160">
        <v>0</v>
      </c>
      <c r="J21" s="160"/>
      <c r="K21" s="338">
        <f t="shared" si="1"/>
        <v>3320.9423076923076</v>
      </c>
      <c r="L21" s="175">
        <f t="shared" si="7"/>
        <v>0</v>
      </c>
      <c r="M21" s="338">
        <f t="shared" si="3"/>
        <v>3320.9423076923076</v>
      </c>
      <c r="N21" s="160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66">
        <v>21034.64423076923</v>
      </c>
      <c r="E22" s="368">
        <v>424.94230769230768</v>
      </c>
      <c r="F22" s="366">
        <v>20609.701923076922</v>
      </c>
      <c r="G22" s="368">
        <v>3265.9423076923076</v>
      </c>
      <c r="H22" s="370">
        <v>3265.9423076923076</v>
      </c>
      <c r="I22" s="160">
        <v>0</v>
      </c>
      <c r="J22" s="160"/>
      <c r="K22" s="338">
        <f t="shared" si="1"/>
        <v>3265.9423076923076</v>
      </c>
      <c r="L22" s="175">
        <f t="shared" si="7"/>
        <v>0</v>
      </c>
      <c r="M22" s="338">
        <f t="shared" si="3"/>
        <v>3265.9423076923076</v>
      </c>
      <c r="N22" s="160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66">
        <v>20609.701923076922</v>
      </c>
      <c r="E23" s="368">
        <v>424.94230769230768</v>
      </c>
      <c r="F23" s="366">
        <v>20184.759615384613</v>
      </c>
      <c r="G23" s="368">
        <v>3071.9423076923076</v>
      </c>
      <c r="H23" s="370">
        <v>3071.9423076923076</v>
      </c>
      <c r="I23" s="160">
        <f t="shared" si="0"/>
        <v>0</v>
      </c>
      <c r="J23" s="160"/>
      <c r="K23" s="338">
        <f>G23</f>
        <v>3071.9423076923076</v>
      </c>
      <c r="L23" s="175">
        <f t="shared" si="7"/>
        <v>0</v>
      </c>
      <c r="M23" s="338">
        <f>H23</f>
        <v>3071.9423076923076</v>
      </c>
      <c r="N23" s="160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66">
        <v>20184.759615384613</v>
      </c>
      <c r="E24" s="368">
        <v>480.36956521739131</v>
      </c>
      <c r="F24" s="366">
        <v>19704.390050167221</v>
      </c>
      <c r="G24" s="368">
        <v>2988.3695652173915</v>
      </c>
      <c r="H24" s="370">
        <v>2988.3695652173915</v>
      </c>
      <c r="I24" s="160">
        <v>0</v>
      </c>
      <c r="J24" s="160"/>
      <c r="K24" s="338">
        <f>G24</f>
        <v>2988.3695652173915</v>
      </c>
      <c r="L24" s="175">
        <f t="shared" si="7"/>
        <v>0</v>
      </c>
      <c r="M24" s="338">
        <f>H24</f>
        <v>2988.3695652173915</v>
      </c>
      <c r="N24" s="160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66">
        <v>19704.390050167221</v>
      </c>
      <c r="E25" s="368">
        <v>491.04444444444442</v>
      </c>
      <c r="F25" s="366">
        <v>19213.345605722778</v>
      </c>
      <c r="G25" s="368">
        <v>2821.4178428916557</v>
      </c>
      <c r="H25" s="370">
        <v>2821.4178428916557</v>
      </c>
      <c r="I25" s="160">
        <f t="shared" si="0"/>
        <v>0</v>
      </c>
      <c r="J25" s="160"/>
      <c r="K25" s="338">
        <f>G25</f>
        <v>2821.4178428916557</v>
      </c>
      <c r="L25" s="175">
        <f t="shared" si="7"/>
        <v>0</v>
      </c>
      <c r="M25" s="338">
        <f>H25</f>
        <v>2821.4178428916557</v>
      </c>
      <c r="N25" s="160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163">
        <f>IF(F25+SUM(E$17:E25)=D$10,F25,D$10-SUM(E$17:E25))</f>
        <v>19213.345605722778</v>
      </c>
      <c r="E26" s="164">
        <f>IF(+I14&lt;F25,I14,D26)</f>
        <v>552.42499999999995</v>
      </c>
      <c r="F26" s="163">
        <f t="shared" ref="F26:F48" si="10">+D26-E26</f>
        <v>18660.920605722778</v>
      </c>
      <c r="G26" s="165">
        <f t="shared" ref="G26:G72" si="11">(D26+F26)/2*I$12+E26</f>
        <v>2666.8814890183439</v>
      </c>
      <c r="H26" s="147">
        <f t="shared" ref="H26:H72" si="12">+(D26+F26)/2*I$13+E26</f>
        <v>2666.8814890183439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2020</v>
      </c>
      <c r="D27" s="166">
        <f>IF(F26+SUM(E$17:E26)=D$10,F26,D$10-SUM(E$17:E26))</f>
        <v>18660.920605722778</v>
      </c>
      <c r="E27" s="164">
        <f>IF(+I14&lt;F26,I14,D27)</f>
        <v>552.42499999999995</v>
      </c>
      <c r="F27" s="163">
        <f t="shared" si="10"/>
        <v>18108.495605722779</v>
      </c>
      <c r="G27" s="165">
        <f t="shared" si="11"/>
        <v>2605.1995744737942</v>
      </c>
      <c r="H27" s="147">
        <f t="shared" si="12"/>
        <v>2605.1995744737942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18108.495605722779</v>
      </c>
      <c r="E28" s="164">
        <f>IF(+I14&lt;F27,I14,D28)</f>
        <v>552.42499999999995</v>
      </c>
      <c r="F28" s="163">
        <f t="shared" si="10"/>
        <v>17556.07060572278</v>
      </c>
      <c r="G28" s="165">
        <f t="shared" si="11"/>
        <v>2543.5176599292445</v>
      </c>
      <c r="H28" s="147">
        <f t="shared" si="12"/>
        <v>2543.5176599292445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17556.07060572278</v>
      </c>
      <c r="E29" s="164">
        <f>IF(+I14&lt;F28,I14,D29)</f>
        <v>552.42499999999995</v>
      </c>
      <c r="F29" s="163">
        <f t="shared" si="10"/>
        <v>17003.645605722781</v>
      </c>
      <c r="G29" s="165">
        <f t="shared" si="11"/>
        <v>2481.8357453846943</v>
      </c>
      <c r="H29" s="147">
        <f t="shared" si="12"/>
        <v>2481.8357453846943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17003.645605722781</v>
      </c>
      <c r="E30" s="164">
        <f>IF(+I14&lt;F29,I14,D30)</f>
        <v>552.42499999999995</v>
      </c>
      <c r="F30" s="163">
        <f t="shared" si="10"/>
        <v>16451.220605722781</v>
      </c>
      <c r="G30" s="165">
        <f t="shared" si="11"/>
        <v>2420.153830840145</v>
      </c>
      <c r="H30" s="147">
        <f t="shared" si="12"/>
        <v>2420.153830840145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16451.220605722781</v>
      </c>
      <c r="E31" s="164">
        <f>IF(+I14&lt;F30,I14,D31)</f>
        <v>552.42499999999995</v>
      </c>
      <c r="F31" s="163">
        <f t="shared" si="10"/>
        <v>15898.795605722782</v>
      </c>
      <c r="G31" s="165">
        <f t="shared" si="11"/>
        <v>2358.4719162955948</v>
      </c>
      <c r="H31" s="147">
        <f t="shared" si="12"/>
        <v>2358.4719162955948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15898.795605722782</v>
      </c>
      <c r="E32" s="164">
        <f>IF(+I14&lt;F31,I14,D32)</f>
        <v>552.42499999999995</v>
      </c>
      <c r="F32" s="163">
        <f t="shared" si="10"/>
        <v>15346.370605722783</v>
      </c>
      <c r="G32" s="165">
        <f t="shared" si="11"/>
        <v>2296.7900017510451</v>
      </c>
      <c r="H32" s="147">
        <f t="shared" si="12"/>
        <v>2296.7900017510451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15346.370605722783</v>
      </c>
      <c r="E33" s="164">
        <f>IF(+I14&lt;F32,I14,D33)</f>
        <v>552.42499999999995</v>
      </c>
      <c r="F33" s="163">
        <f t="shared" si="10"/>
        <v>14793.945605722784</v>
      </c>
      <c r="G33" s="165">
        <f t="shared" si="11"/>
        <v>2235.1080872064954</v>
      </c>
      <c r="H33" s="147">
        <f t="shared" si="12"/>
        <v>2235.1080872064954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14793.945605722784</v>
      </c>
      <c r="E34" s="164">
        <f>IF(+I14&lt;F33,I14,D34)</f>
        <v>552.42499999999995</v>
      </c>
      <c r="F34" s="163">
        <f t="shared" si="10"/>
        <v>14241.520605722784</v>
      </c>
      <c r="G34" s="165">
        <f t="shared" si="11"/>
        <v>2173.4261726619452</v>
      </c>
      <c r="H34" s="147">
        <f t="shared" si="12"/>
        <v>2173.4261726619452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14241.520605722784</v>
      </c>
      <c r="E35" s="164">
        <f>IF(+I14&lt;F34,I14,D35)</f>
        <v>552.42499999999995</v>
      </c>
      <c r="F35" s="163">
        <f t="shared" si="10"/>
        <v>13689.095605722785</v>
      </c>
      <c r="G35" s="165">
        <f t="shared" si="11"/>
        <v>2111.7442581173955</v>
      </c>
      <c r="H35" s="147">
        <f t="shared" si="12"/>
        <v>2111.7442581173955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13689.095605722785</v>
      </c>
      <c r="E36" s="164">
        <f>IF(+I14&lt;F35,I14,D36)</f>
        <v>552.42499999999995</v>
      </c>
      <c r="F36" s="163">
        <f t="shared" si="10"/>
        <v>13136.670605722786</v>
      </c>
      <c r="G36" s="165">
        <f t="shared" si="11"/>
        <v>2050.0623435728457</v>
      </c>
      <c r="H36" s="147">
        <f t="shared" si="12"/>
        <v>2050.0623435728457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13136.670605722786</v>
      </c>
      <c r="E37" s="164">
        <f>IF(+I14&lt;F36,I14,D37)</f>
        <v>552.42499999999995</v>
      </c>
      <c r="F37" s="163">
        <f t="shared" si="10"/>
        <v>12584.245605722786</v>
      </c>
      <c r="G37" s="165">
        <f t="shared" si="11"/>
        <v>1988.3804290282962</v>
      </c>
      <c r="H37" s="147">
        <f t="shared" si="12"/>
        <v>1988.3804290282962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12584.245605722786</v>
      </c>
      <c r="E38" s="164">
        <f>IF(+I14&lt;F37,I14,D38)</f>
        <v>552.42499999999995</v>
      </c>
      <c r="F38" s="163">
        <f t="shared" si="10"/>
        <v>12031.820605722787</v>
      </c>
      <c r="G38" s="165">
        <f t="shared" si="11"/>
        <v>1926.6985144837463</v>
      </c>
      <c r="H38" s="147">
        <f t="shared" si="12"/>
        <v>1926.6985144837463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12031.820605722787</v>
      </c>
      <c r="E39" s="164">
        <f>IF(+I14&lt;F38,I14,D39)</f>
        <v>552.42499999999995</v>
      </c>
      <c r="F39" s="163">
        <f t="shared" si="10"/>
        <v>11479.395605722788</v>
      </c>
      <c r="G39" s="165">
        <f t="shared" si="11"/>
        <v>1865.0165999391966</v>
      </c>
      <c r="H39" s="147">
        <f t="shared" si="12"/>
        <v>1865.0165999391966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11479.395605722788</v>
      </c>
      <c r="E40" s="164">
        <f>IF(+I14&lt;F39,I14,D40)</f>
        <v>552.42499999999995</v>
      </c>
      <c r="F40" s="163">
        <f t="shared" si="10"/>
        <v>10926.970605722789</v>
      </c>
      <c r="G40" s="165">
        <f t="shared" si="11"/>
        <v>1803.3346853946468</v>
      </c>
      <c r="H40" s="147">
        <f t="shared" si="12"/>
        <v>1803.3346853946468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10926.970605722789</v>
      </c>
      <c r="E41" s="164">
        <f>IF(+I14&lt;F40,I14,D41)</f>
        <v>552.42499999999995</v>
      </c>
      <c r="F41" s="163">
        <f t="shared" si="10"/>
        <v>10374.545605722789</v>
      </c>
      <c r="G41" s="165">
        <f t="shared" si="11"/>
        <v>1741.6527708500971</v>
      </c>
      <c r="H41" s="147">
        <f t="shared" si="12"/>
        <v>1741.6527708500971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10374.545605722789</v>
      </c>
      <c r="E42" s="164">
        <f>IF(+I14&lt;F41,I14,D42)</f>
        <v>552.42499999999995</v>
      </c>
      <c r="F42" s="163">
        <f t="shared" si="10"/>
        <v>9822.1206057227901</v>
      </c>
      <c r="G42" s="165">
        <f t="shared" si="11"/>
        <v>1679.9708563055472</v>
      </c>
      <c r="H42" s="147">
        <f t="shared" si="12"/>
        <v>1679.9708563055472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9822.1206057227901</v>
      </c>
      <c r="E43" s="164">
        <f>IF(+I14&lt;F42,I14,D43)</f>
        <v>552.42499999999995</v>
      </c>
      <c r="F43" s="163">
        <f t="shared" si="10"/>
        <v>9269.6956057227908</v>
      </c>
      <c r="G43" s="165">
        <f t="shared" si="11"/>
        <v>1618.2889417609974</v>
      </c>
      <c r="H43" s="147">
        <f t="shared" si="12"/>
        <v>1618.2889417609974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9269.6956057227908</v>
      </c>
      <c r="E44" s="164">
        <f>IF(+I14&lt;F43,I14,D44)</f>
        <v>552.42499999999995</v>
      </c>
      <c r="F44" s="163">
        <f t="shared" si="10"/>
        <v>8717.2706057227915</v>
      </c>
      <c r="G44" s="165">
        <f t="shared" si="11"/>
        <v>1556.6070272164477</v>
      </c>
      <c r="H44" s="147">
        <f t="shared" si="12"/>
        <v>1556.6070272164477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8717.2706057227915</v>
      </c>
      <c r="E45" s="164">
        <f>IF(+I14&lt;F44,I14,D45)</f>
        <v>552.42499999999995</v>
      </c>
      <c r="F45" s="163">
        <f t="shared" si="10"/>
        <v>8164.8456057227913</v>
      </c>
      <c r="G45" s="165">
        <f t="shared" si="11"/>
        <v>1494.9251126718978</v>
      </c>
      <c r="H45" s="147">
        <f t="shared" si="12"/>
        <v>1494.9251126718978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8164.8456057227913</v>
      </c>
      <c r="E46" s="164">
        <f>IF(+I14&lt;F45,I14,D46)</f>
        <v>552.42499999999995</v>
      </c>
      <c r="F46" s="163">
        <f t="shared" si="10"/>
        <v>7612.4206057227912</v>
      </c>
      <c r="G46" s="165">
        <f t="shared" si="11"/>
        <v>1433.243198127348</v>
      </c>
      <c r="H46" s="147">
        <f t="shared" si="12"/>
        <v>1433.243198127348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7612.4206057227912</v>
      </c>
      <c r="E47" s="164">
        <f>IF(+I14&lt;F46,I14,D47)</f>
        <v>552.42499999999995</v>
      </c>
      <c r="F47" s="163">
        <f t="shared" si="10"/>
        <v>7059.995605722791</v>
      </c>
      <c r="G47" s="165">
        <f t="shared" si="11"/>
        <v>1371.5612835827981</v>
      </c>
      <c r="H47" s="147">
        <f t="shared" si="12"/>
        <v>1371.5612835827981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7059.995605722791</v>
      </c>
      <c r="E48" s="164">
        <f>IF(+I14&lt;F47,I14,D48)</f>
        <v>552.42499999999995</v>
      </c>
      <c r="F48" s="163">
        <f t="shared" si="10"/>
        <v>6507.5706057227908</v>
      </c>
      <c r="G48" s="165">
        <f t="shared" si="11"/>
        <v>1309.8793690382481</v>
      </c>
      <c r="H48" s="147">
        <f t="shared" si="12"/>
        <v>1309.8793690382481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6507.5706057227908</v>
      </c>
      <c r="E49" s="164">
        <f>IF(+I14&lt;F48,I14,D49)</f>
        <v>552.42499999999995</v>
      </c>
      <c r="F49" s="163">
        <f t="shared" ref="F49:F72" si="13">+D49-E49</f>
        <v>5955.1456057227906</v>
      </c>
      <c r="G49" s="165">
        <f t="shared" si="11"/>
        <v>1248.1974544936984</v>
      </c>
      <c r="H49" s="147">
        <f t="shared" si="12"/>
        <v>1248.1974544936984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ref="B50:B72" si="18">IF(D50=F49,"","IU")</f>
        <v/>
      </c>
      <c r="C50" s="157">
        <f>IF(D11="","-",+C49+1)</f>
        <v>2043</v>
      </c>
      <c r="D50" s="163">
        <f>IF(F49+SUM(E$17:E49)=D$10,F49,D$10-SUM(E$17:E49))</f>
        <v>5955.1456057227906</v>
      </c>
      <c r="E50" s="164">
        <f>IF(+I14&lt;F49,I14,D50)</f>
        <v>552.42499999999995</v>
      </c>
      <c r="F50" s="163">
        <f t="shared" si="13"/>
        <v>5402.7206057227904</v>
      </c>
      <c r="G50" s="165">
        <f t="shared" si="11"/>
        <v>1186.5155399491482</v>
      </c>
      <c r="H50" s="147">
        <f t="shared" si="12"/>
        <v>1186.5155399491482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18"/>
        <v/>
      </c>
      <c r="C51" s="157">
        <f>IF(D11="","-",+C50+1)</f>
        <v>2044</v>
      </c>
      <c r="D51" s="163">
        <f>IF(F50+SUM(E$17:E50)=D$10,F50,D$10-SUM(E$17:E50))</f>
        <v>5402.7206057227904</v>
      </c>
      <c r="E51" s="164">
        <f>IF(+I14&lt;F50,I14,D51)</f>
        <v>552.42499999999995</v>
      </c>
      <c r="F51" s="163">
        <f t="shared" si="13"/>
        <v>4850.2956057227902</v>
      </c>
      <c r="G51" s="165">
        <f t="shared" si="11"/>
        <v>1124.8336254045985</v>
      </c>
      <c r="H51" s="147">
        <f t="shared" si="12"/>
        <v>1124.8336254045985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18"/>
        <v/>
      </c>
      <c r="C52" s="157">
        <f>IF(D11="","-",+C51+1)</f>
        <v>2045</v>
      </c>
      <c r="D52" s="163">
        <f>IF(F51+SUM(E$17:E51)=D$10,F51,D$10-SUM(E$17:E51))</f>
        <v>4850.2956057227902</v>
      </c>
      <c r="E52" s="164">
        <f>IF(+I14&lt;F51,I14,D52)</f>
        <v>552.42499999999995</v>
      </c>
      <c r="F52" s="163">
        <f t="shared" si="13"/>
        <v>4297.8706057227901</v>
      </c>
      <c r="G52" s="165">
        <f t="shared" si="11"/>
        <v>1063.1517108600485</v>
      </c>
      <c r="H52" s="147">
        <f t="shared" si="12"/>
        <v>1063.1517108600485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18"/>
        <v/>
      </c>
      <c r="C53" s="157">
        <f>IF(D11="","-",+C52+1)</f>
        <v>2046</v>
      </c>
      <c r="D53" s="163">
        <f>IF(F52+SUM(E$17:E52)=D$10,F52,D$10-SUM(E$17:E52))</f>
        <v>4297.8706057227901</v>
      </c>
      <c r="E53" s="164">
        <f>IF(+I14&lt;F52,I14,D53)</f>
        <v>552.42499999999995</v>
      </c>
      <c r="F53" s="163">
        <f t="shared" si="13"/>
        <v>3745.4456057227899</v>
      </c>
      <c r="G53" s="165">
        <f t="shared" si="11"/>
        <v>1001.4697963154988</v>
      </c>
      <c r="H53" s="147">
        <f t="shared" si="12"/>
        <v>1001.4697963154988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18"/>
        <v/>
      </c>
      <c r="C54" s="157">
        <f>IF(D11="","-",+C53+1)</f>
        <v>2047</v>
      </c>
      <c r="D54" s="163">
        <f>IF(F53+SUM(E$17:E53)=D$10,F53,D$10-SUM(E$17:E53))</f>
        <v>3745.4456057227899</v>
      </c>
      <c r="E54" s="164">
        <f>IF(+I14&lt;F53,I14,D54)</f>
        <v>552.42499999999995</v>
      </c>
      <c r="F54" s="163">
        <f t="shared" si="13"/>
        <v>3193.0206057227897</v>
      </c>
      <c r="G54" s="165">
        <f t="shared" si="11"/>
        <v>939.78788177094884</v>
      </c>
      <c r="H54" s="147">
        <f t="shared" si="12"/>
        <v>939.78788177094884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18"/>
        <v/>
      </c>
      <c r="C55" s="157">
        <f>IF(D11="","-",+C54+1)</f>
        <v>2048</v>
      </c>
      <c r="D55" s="163">
        <f>IF(F54+SUM(E$17:E54)=D$10,F54,D$10-SUM(E$17:E54))</f>
        <v>3193.0206057227897</v>
      </c>
      <c r="E55" s="164">
        <f>IF(+I14&lt;F54,I14,D55)</f>
        <v>552.42499999999995</v>
      </c>
      <c r="F55" s="163">
        <f t="shared" si="13"/>
        <v>2640.5956057227895</v>
      </c>
      <c r="G55" s="165">
        <f t="shared" si="11"/>
        <v>878.105967226399</v>
      </c>
      <c r="H55" s="147">
        <f t="shared" si="12"/>
        <v>878.105967226399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18"/>
        <v/>
      </c>
      <c r="C56" s="157">
        <f>IF(D11="","-",+C55+1)</f>
        <v>2049</v>
      </c>
      <c r="D56" s="163">
        <f>IF(F55+SUM(E$17:E55)=D$10,F55,D$10-SUM(E$17:E55))</f>
        <v>2640.5956057227895</v>
      </c>
      <c r="E56" s="164">
        <f>IF(+I14&lt;F55,I14,D56)</f>
        <v>552.42499999999995</v>
      </c>
      <c r="F56" s="163">
        <f t="shared" si="13"/>
        <v>2088.1706057227893</v>
      </c>
      <c r="G56" s="165">
        <f t="shared" si="11"/>
        <v>816.42405268184916</v>
      </c>
      <c r="H56" s="147">
        <f t="shared" si="12"/>
        <v>816.42405268184916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18"/>
        <v/>
      </c>
      <c r="C57" s="157">
        <f>IF(D11="","-",+C56+1)</f>
        <v>2050</v>
      </c>
      <c r="D57" s="163">
        <f>IF(F56+SUM(E$17:E56)=D$10,F56,D$10-SUM(E$17:E56))</f>
        <v>2088.1706057227893</v>
      </c>
      <c r="E57" s="164">
        <f>IF(+I14&lt;F56,I14,D57)</f>
        <v>552.42499999999995</v>
      </c>
      <c r="F57" s="163">
        <f t="shared" si="13"/>
        <v>1535.7456057227894</v>
      </c>
      <c r="G57" s="165">
        <f t="shared" si="11"/>
        <v>754.74213813729921</v>
      </c>
      <c r="H57" s="147">
        <f t="shared" si="12"/>
        <v>754.74213813729921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18"/>
        <v/>
      </c>
      <c r="C58" s="157">
        <f>IF(D11="","-",+C57+1)</f>
        <v>2051</v>
      </c>
      <c r="D58" s="163">
        <f>IF(F57+SUM(E$17:E57)=D$10,F57,D$10-SUM(E$17:E57))</f>
        <v>1535.7456057227894</v>
      </c>
      <c r="E58" s="164">
        <f>IF(+I14&lt;F57,I14,D58)</f>
        <v>552.42499999999995</v>
      </c>
      <c r="F58" s="163">
        <f t="shared" si="13"/>
        <v>983.32060572278942</v>
      </c>
      <c r="G58" s="165">
        <f t="shared" si="11"/>
        <v>693.06022359274937</v>
      </c>
      <c r="H58" s="147">
        <f t="shared" si="12"/>
        <v>693.06022359274937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18"/>
        <v/>
      </c>
      <c r="C59" s="157">
        <f>IF(D11="","-",+C58+1)</f>
        <v>2052</v>
      </c>
      <c r="D59" s="163">
        <f>IF(F58+SUM(E$17:E58)=D$10,F58,D$10-SUM(E$17:E58))</f>
        <v>983.32060572278942</v>
      </c>
      <c r="E59" s="164">
        <f>IF(+I14&lt;F58,I14,D59)</f>
        <v>552.42499999999995</v>
      </c>
      <c r="F59" s="163">
        <f t="shared" si="13"/>
        <v>430.89560572278947</v>
      </c>
      <c r="G59" s="165">
        <f t="shared" si="11"/>
        <v>631.37830904819953</v>
      </c>
      <c r="H59" s="147">
        <f t="shared" si="12"/>
        <v>631.37830904819953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18"/>
        <v/>
      </c>
      <c r="C60" s="157">
        <f>IF(D11="","-",+C59+1)</f>
        <v>2053</v>
      </c>
      <c r="D60" s="163">
        <f>IF(F59+SUM(E$17:E59)=D$10,F59,D$10-SUM(E$17:E59))</f>
        <v>430.89560572278947</v>
      </c>
      <c r="E60" s="164">
        <f>IF(+I14&lt;F59,I14,D60)</f>
        <v>430.89560572278947</v>
      </c>
      <c r="F60" s="163">
        <f t="shared" si="13"/>
        <v>0</v>
      </c>
      <c r="G60" s="165">
        <f t="shared" si="11"/>
        <v>454.95178161075177</v>
      </c>
      <c r="H60" s="147">
        <f t="shared" si="12"/>
        <v>454.95178161075177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18"/>
        <v/>
      </c>
      <c r="C61" s="157">
        <f>IF(D11="","-",+C60+1)</f>
        <v>2054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18"/>
        <v/>
      </c>
      <c r="C62" s="157">
        <f>IF(D11="","-",+C61+1)</f>
        <v>2055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18"/>
        <v/>
      </c>
      <c r="C63" s="157">
        <f>IF(D11="","-",+C62+1)</f>
        <v>2056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18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18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18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18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18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18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18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18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18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22096.999999999993</v>
      </c>
      <c r="F73" s="115"/>
      <c r="G73" s="115">
        <f>SUM(G17:G72)</f>
        <v>78742.869925381252</v>
      </c>
      <c r="H73" s="115">
        <f>SUM(H17:H72)</f>
        <v>78742.869925381252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13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2988.3695652173915</v>
      </c>
      <c r="N87" s="202">
        <f>IF(J92&lt;D11,0,VLOOKUP(J92,C17:O72,11))</f>
        <v>2988.3695652173915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3003.0332263920673</v>
      </c>
      <c r="N88" s="204">
        <f>IF(J92&lt;D11,0,VLOOKUP(J92,C99:P154,7))</f>
        <v>3003.0332263920673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CoffeyvilleT to Dearing 138 kv Rebuild - 1.1 mi*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14.663661174675781</v>
      </c>
      <c r="N89" s="207">
        <f>+N88-N87</f>
        <v>14.663661174675781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TP2008013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22097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2010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480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410">
        <f>D93</f>
        <v>2010</v>
      </c>
      <c r="D99" s="411">
        <v>0</v>
      </c>
      <c r="E99" s="413">
        <v>0</v>
      </c>
      <c r="F99" s="413">
        <v>0</v>
      </c>
      <c r="G99" s="413">
        <v>0</v>
      </c>
      <c r="H99" s="414">
        <v>0</v>
      </c>
      <c r="I99" s="413">
        <v>0</v>
      </c>
      <c r="J99" s="415">
        <v>0</v>
      </c>
      <c r="K99" s="162"/>
      <c r="L99" s="384">
        <f t="shared" ref="L99:L104" si="19">H99</f>
        <v>0</v>
      </c>
      <c r="M99" s="385">
        <f t="shared" ref="M99:M104" si="20">IF(L99&lt;&gt;0,+H99-L99,0)</f>
        <v>0</v>
      </c>
      <c r="N99" s="384">
        <f t="shared" ref="N99:N104" si="21">I99</f>
        <v>0</v>
      </c>
      <c r="O99" s="161">
        <f t="shared" ref="O99:O104" si="22">IF(N99&lt;&gt;0,+I99-N99,0)</f>
        <v>0</v>
      </c>
      <c r="P99" s="161">
        <f t="shared" ref="P99:P104" si="23">+O99-M99</f>
        <v>0</v>
      </c>
    </row>
    <row r="100" spans="1:16">
      <c r="C100" s="157">
        <f>IF(D91="","-",+C99+1)</f>
        <v>2011</v>
      </c>
      <c r="D100" s="412">
        <v>0</v>
      </c>
      <c r="E100" s="416">
        <v>0</v>
      </c>
      <c r="F100" s="416">
        <v>0</v>
      </c>
      <c r="G100" s="416">
        <v>0</v>
      </c>
      <c r="H100" s="417">
        <v>0</v>
      </c>
      <c r="I100" s="416">
        <v>0</v>
      </c>
      <c r="J100" s="418">
        <v>0</v>
      </c>
      <c r="K100" s="162"/>
      <c r="L100" s="380">
        <f t="shared" si="19"/>
        <v>0</v>
      </c>
      <c r="M100" s="381">
        <f t="shared" si="20"/>
        <v>0</v>
      </c>
      <c r="N100" s="380">
        <f t="shared" si="21"/>
        <v>0</v>
      </c>
      <c r="O100" s="162">
        <f t="shared" si="22"/>
        <v>0</v>
      </c>
      <c r="P100" s="162">
        <f t="shared" si="23"/>
        <v>0</v>
      </c>
    </row>
    <row r="101" spans="1:16">
      <c r="C101" s="157">
        <f>IF(D92="","-",+C100+1)</f>
        <v>2012</v>
      </c>
      <c r="D101" s="420">
        <v>22097</v>
      </c>
      <c r="E101" s="421">
        <v>212.5</v>
      </c>
      <c r="F101" s="422">
        <v>21884.5</v>
      </c>
      <c r="G101" s="422">
        <v>21990.75</v>
      </c>
      <c r="H101" s="423">
        <v>3375.9899363381005</v>
      </c>
      <c r="I101" s="424">
        <v>3375.9899363381005</v>
      </c>
      <c r="J101" s="162">
        <v>0</v>
      </c>
      <c r="K101" s="162"/>
      <c r="L101" s="380">
        <f t="shared" si="19"/>
        <v>3375.9899363381005</v>
      </c>
      <c r="M101" s="381">
        <f t="shared" si="20"/>
        <v>0</v>
      </c>
      <c r="N101" s="380">
        <f t="shared" si="21"/>
        <v>3375.9899363381005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ref="B102:B133" si="24">IF(D102=F101,"","IU")</f>
        <v/>
      </c>
      <c r="C102" s="157">
        <f>IF(D93="","-",+C101+1)</f>
        <v>2013</v>
      </c>
      <c r="D102" s="420">
        <v>21884.5</v>
      </c>
      <c r="E102" s="421">
        <v>425</v>
      </c>
      <c r="F102" s="422">
        <v>21459.5</v>
      </c>
      <c r="G102" s="422">
        <v>21672</v>
      </c>
      <c r="H102" s="423">
        <v>3544.458879858515</v>
      </c>
      <c r="I102" s="424">
        <v>3544.458879858515</v>
      </c>
      <c r="J102" s="162">
        <v>0</v>
      </c>
      <c r="K102" s="162"/>
      <c r="L102" s="380">
        <f t="shared" si="19"/>
        <v>3544.458879858515</v>
      </c>
      <c r="M102" s="381">
        <f t="shared" si="20"/>
        <v>0</v>
      </c>
      <c r="N102" s="380">
        <f t="shared" si="21"/>
        <v>3544.458879858515</v>
      </c>
      <c r="O102" s="162">
        <f t="shared" si="22"/>
        <v>0</v>
      </c>
      <c r="P102" s="162">
        <f t="shared" si="23"/>
        <v>0</v>
      </c>
    </row>
    <row r="103" spans="1:16">
      <c r="B103" s="9" t="str">
        <f t="shared" si="24"/>
        <v/>
      </c>
      <c r="C103" s="157">
        <f>IF(D93="","-",+C102+1)</f>
        <v>2014</v>
      </c>
      <c r="D103" s="420">
        <v>21459.5</v>
      </c>
      <c r="E103" s="421">
        <v>425</v>
      </c>
      <c r="F103" s="422">
        <v>21034.5</v>
      </c>
      <c r="G103" s="422">
        <v>21247</v>
      </c>
      <c r="H103" s="423">
        <v>3412.2413474199548</v>
      </c>
      <c r="I103" s="424">
        <v>3412.2413474199548</v>
      </c>
      <c r="J103" s="162">
        <v>0</v>
      </c>
      <c r="K103" s="162"/>
      <c r="L103" s="380">
        <f t="shared" si="19"/>
        <v>3412.2413474199548</v>
      </c>
      <c r="M103" s="381">
        <f t="shared" si="20"/>
        <v>0</v>
      </c>
      <c r="N103" s="380">
        <f t="shared" si="21"/>
        <v>3412.2413474199548</v>
      </c>
      <c r="O103" s="162">
        <f t="shared" si="22"/>
        <v>0</v>
      </c>
      <c r="P103" s="162">
        <f t="shared" si="23"/>
        <v>0</v>
      </c>
    </row>
    <row r="104" spans="1:16">
      <c r="B104" s="9" t="str">
        <f t="shared" si="24"/>
        <v/>
      </c>
      <c r="C104" s="157">
        <f>IF(D93="","-",+C103+1)</f>
        <v>2015</v>
      </c>
      <c r="D104" s="420">
        <v>21034.5</v>
      </c>
      <c r="E104" s="421">
        <v>425</v>
      </c>
      <c r="F104" s="422">
        <v>20609.5</v>
      </c>
      <c r="G104" s="422">
        <v>20822</v>
      </c>
      <c r="H104" s="423">
        <v>3265.9944828697971</v>
      </c>
      <c r="I104" s="424">
        <v>3265.9944828697971</v>
      </c>
      <c r="J104" s="162">
        <f t="shared" ref="J104:J132" si="25">+I104-H104</f>
        <v>0</v>
      </c>
      <c r="K104" s="162"/>
      <c r="L104" s="380">
        <f t="shared" si="19"/>
        <v>3265.9944828697971</v>
      </c>
      <c r="M104" s="381">
        <f t="shared" si="20"/>
        <v>0</v>
      </c>
      <c r="N104" s="380">
        <f t="shared" si="21"/>
        <v>3265.9944828697971</v>
      </c>
      <c r="O104" s="162">
        <f t="shared" si="22"/>
        <v>0</v>
      </c>
      <c r="P104" s="162">
        <f t="shared" si="23"/>
        <v>0</v>
      </c>
    </row>
    <row r="105" spans="1:16">
      <c r="B105" s="9" t="str">
        <f t="shared" si="24"/>
        <v/>
      </c>
      <c r="C105" s="157">
        <f>IF(D93="","-",+C104+1)</f>
        <v>2016</v>
      </c>
      <c r="D105" s="420">
        <v>20609.5</v>
      </c>
      <c r="E105" s="421">
        <v>480</v>
      </c>
      <c r="F105" s="422">
        <v>20129.5</v>
      </c>
      <c r="G105" s="422">
        <v>20369.5</v>
      </c>
      <c r="H105" s="423">
        <v>3105.9493466960757</v>
      </c>
      <c r="I105" s="424">
        <v>3105.9493466960757</v>
      </c>
      <c r="J105" s="162">
        <v>0</v>
      </c>
      <c r="K105" s="162"/>
      <c r="L105" s="380">
        <f>H105</f>
        <v>3105.9493466960757</v>
      </c>
      <c r="M105" s="381">
        <f>IF(L105&lt;&gt;0,+H105-L105,0)</f>
        <v>0</v>
      </c>
      <c r="N105" s="380">
        <f>I105</f>
        <v>3105.9493466960757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2017</v>
      </c>
      <c r="D106" s="158">
        <f>IF(F105+SUM(E$101:E105)=D$92,F105,D$92-SUM(E$101:E105))</f>
        <v>20129.5</v>
      </c>
      <c r="E106" s="164">
        <f>IF(+J96&lt;F105,J96,D106)</f>
        <v>480</v>
      </c>
      <c r="F106" s="163">
        <f t="shared" ref="F106:F133" si="26">+D106-E106</f>
        <v>19649.5</v>
      </c>
      <c r="G106" s="163">
        <f t="shared" ref="G106:G132" si="27">+(F106+D106)/2</f>
        <v>19889.5</v>
      </c>
      <c r="H106" s="167">
        <f t="shared" ref="H106:H132" si="28">+J$94*G106+E106</f>
        <v>3003.0332263920673</v>
      </c>
      <c r="I106" s="317">
        <f t="shared" ref="I106:I132" si="29">+J$95*G106+E106</f>
        <v>3003.0332263920673</v>
      </c>
      <c r="J106" s="162">
        <f t="shared" si="25"/>
        <v>0</v>
      </c>
      <c r="K106" s="162"/>
      <c r="L106" s="335"/>
      <c r="M106" s="162">
        <f t="shared" ref="M106:M130" si="30">IF(L106&lt;&gt;0,+H108-L106,0)</f>
        <v>0</v>
      </c>
      <c r="N106" s="335"/>
      <c r="O106" s="162">
        <f t="shared" ref="O106:O130" si="31">IF(N106&lt;&gt;0,+I108-N106,0)</f>
        <v>0</v>
      </c>
      <c r="P106" s="162">
        <f t="shared" ref="P106:P130" si="32">+O106-M106</f>
        <v>0</v>
      </c>
    </row>
    <row r="107" spans="1:16">
      <c r="B107" s="9" t="str">
        <f t="shared" si="24"/>
        <v/>
      </c>
      <c r="C107" s="157">
        <f>IF(D93="","-",+C106+1)</f>
        <v>2018</v>
      </c>
      <c r="D107" s="158">
        <f>IF(F106+SUM(E$101:E106)=D$92,F106,D$92-SUM(E$101:E106))</f>
        <v>19649.5</v>
      </c>
      <c r="E107" s="164">
        <f>IF(+J96&lt;F106,J96,D107)</f>
        <v>480</v>
      </c>
      <c r="F107" s="163">
        <f t="shared" si="26"/>
        <v>19169.5</v>
      </c>
      <c r="G107" s="163">
        <f t="shared" si="27"/>
        <v>19409.5</v>
      </c>
      <c r="H107" s="167">
        <f t="shared" si="28"/>
        <v>2942.1440160716375</v>
      </c>
      <c r="I107" s="317">
        <f t="shared" si="29"/>
        <v>2942.1440160716375</v>
      </c>
      <c r="J107" s="162">
        <f t="shared" si="25"/>
        <v>0</v>
      </c>
      <c r="K107" s="162"/>
      <c r="L107" s="335"/>
      <c r="M107" s="162">
        <f t="shared" si="30"/>
        <v>0</v>
      </c>
      <c r="N107" s="335"/>
      <c r="O107" s="162">
        <f t="shared" si="31"/>
        <v>0</v>
      </c>
      <c r="P107" s="162">
        <f t="shared" si="32"/>
        <v>0</v>
      </c>
    </row>
    <row r="108" spans="1:16">
      <c r="B108" s="9" t="str">
        <f t="shared" si="24"/>
        <v/>
      </c>
      <c r="C108" s="157">
        <f>IF(D93="","-",+C107+1)</f>
        <v>2019</v>
      </c>
      <c r="D108" s="158">
        <f>IF(F107+SUM(E$101:E107)=D$92,F107,D$92-SUM(E$101:E107))</f>
        <v>19169.5</v>
      </c>
      <c r="E108" s="164">
        <f>IF(+J96&lt;F107,J96,D108)</f>
        <v>480</v>
      </c>
      <c r="F108" s="163">
        <f t="shared" si="26"/>
        <v>18689.5</v>
      </c>
      <c r="G108" s="163">
        <f t="shared" si="27"/>
        <v>18929.5</v>
      </c>
      <c r="H108" s="167">
        <f t="shared" si="28"/>
        <v>2881.2548057512076</v>
      </c>
      <c r="I108" s="317">
        <f t="shared" si="29"/>
        <v>2881.2548057512076</v>
      </c>
      <c r="J108" s="162">
        <f t="shared" si="25"/>
        <v>0</v>
      </c>
      <c r="K108" s="162"/>
      <c r="L108" s="335"/>
      <c r="M108" s="162">
        <f t="shared" si="30"/>
        <v>0</v>
      </c>
      <c r="N108" s="335"/>
      <c r="O108" s="162">
        <f t="shared" si="31"/>
        <v>0</v>
      </c>
      <c r="P108" s="162">
        <f t="shared" si="32"/>
        <v>0</v>
      </c>
    </row>
    <row r="109" spans="1:16">
      <c r="B109" s="9" t="str">
        <f t="shared" si="24"/>
        <v/>
      </c>
      <c r="C109" s="157">
        <f>IF(D93="","-",+C108+1)</f>
        <v>2020</v>
      </c>
      <c r="D109" s="158">
        <f>IF(F108+SUM(E$101:E108)=D$92,F108,D$92-SUM(E$101:E108))</f>
        <v>18689.5</v>
      </c>
      <c r="E109" s="165">
        <f>IF(+J96&lt;F108,J96,D109)</f>
        <v>480</v>
      </c>
      <c r="F109" s="163">
        <f t="shared" si="26"/>
        <v>18209.5</v>
      </c>
      <c r="G109" s="163">
        <f t="shared" si="27"/>
        <v>18449.5</v>
      </c>
      <c r="H109" s="167">
        <f t="shared" si="28"/>
        <v>2820.3655954307774</v>
      </c>
      <c r="I109" s="317">
        <f t="shared" si="29"/>
        <v>2820.3655954307774</v>
      </c>
      <c r="J109" s="162">
        <f t="shared" si="25"/>
        <v>0</v>
      </c>
      <c r="K109" s="162"/>
      <c r="L109" s="335"/>
      <c r="M109" s="162">
        <f t="shared" si="30"/>
        <v>0</v>
      </c>
      <c r="N109" s="335"/>
      <c r="O109" s="162">
        <f t="shared" si="31"/>
        <v>0</v>
      </c>
      <c r="P109" s="162">
        <f t="shared" si="32"/>
        <v>0</v>
      </c>
    </row>
    <row r="110" spans="1:16">
      <c r="B110" s="9" t="str">
        <f t="shared" si="24"/>
        <v/>
      </c>
      <c r="C110" s="157">
        <f>IF(D93="","-",+C109+1)</f>
        <v>2021</v>
      </c>
      <c r="D110" s="158">
        <f>IF(F109+SUM(E$101:E109)=D$92,F109,D$92-SUM(E$101:E109))</f>
        <v>18209.5</v>
      </c>
      <c r="E110" s="165">
        <f>IF(+J96&lt;F109,J96,D110)</f>
        <v>480</v>
      </c>
      <c r="F110" s="163">
        <f t="shared" si="26"/>
        <v>17729.5</v>
      </c>
      <c r="G110" s="163">
        <f t="shared" si="27"/>
        <v>17969.5</v>
      </c>
      <c r="H110" s="167">
        <f t="shared" si="28"/>
        <v>2759.4763851103476</v>
      </c>
      <c r="I110" s="317">
        <f t="shared" si="29"/>
        <v>2759.4763851103476</v>
      </c>
      <c r="J110" s="162">
        <f t="shared" si="25"/>
        <v>0</v>
      </c>
      <c r="K110" s="162"/>
      <c r="L110" s="335"/>
      <c r="M110" s="162">
        <f t="shared" si="30"/>
        <v>0</v>
      </c>
      <c r="N110" s="335"/>
      <c r="O110" s="162">
        <f t="shared" si="31"/>
        <v>0</v>
      </c>
      <c r="P110" s="162">
        <f t="shared" si="32"/>
        <v>0</v>
      </c>
    </row>
    <row r="111" spans="1:16">
      <c r="B111" s="9" t="str">
        <f t="shared" si="24"/>
        <v/>
      </c>
      <c r="C111" s="157">
        <f>IF(D93="","-",+C110+1)</f>
        <v>2022</v>
      </c>
      <c r="D111" s="158">
        <f>IF(F110+SUM(E$101:E110)=D$92,F110,D$92-SUM(E$101:E110))</f>
        <v>17729.5</v>
      </c>
      <c r="E111" s="165">
        <f>IF(+J96&lt;F110,J96,D111)</f>
        <v>480</v>
      </c>
      <c r="F111" s="163">
        <f t="shared" si="26"/>
        <v>17249.5</v>
      </c>
      <c r="G111" s="163">
        <f t="shared" si="27"/>
        <v>17489.5</v>
      </c>
      <c r="H111" s="167">
        <f t="shared" si="28"/>
        <v>2698.5871747899173</v>
      </c>
      <c r="I111" s="317">
        <f t="shared" si="29"/>
        <v>2698.5871747899173</v>
      </c>
      <c r="J111" s="162">
        <f t="shared" si="25"/>
        <v>0</v>
      </c>
      <c r="K111" s="162"/>
      <c r="L111" s="335"/>
      <c r="M111" s="162">
        <f t="shared" si="30"/>
        <v>0</v>
      </c>
      <c r="N111" s="335"/>
      <c r="O111" s="162">
        <f t="shared" si="31"/>
        <v>0</v>
      </c>
      <c r="P111" s="162">
        <f t="shared" si="32"/>
        <v>0</v>
      </c>
    </row>
    <row r="112" spans="1:16">
      <c r="B112" s="9" t="str">
        <f t="shared" si="24"/>
        <v/>
      </c>
      <c r="C112" s="157">
        <f>IF(D93="","-",+C111+1)</f>
        <v>2023</v>
      </c>
      <c r="D112" s="158">
        <f>IF(F111+SUM(E$101:E111)=D$92,F111,D$92-SUM(E$101:E111))</f>
        <v>17249.5</v>
      </c>
      <c r="E112" s="165">
        <f>IF(+J96&lt;F111,J96,D112)</f>
        <v>480</v>
      </c>
      <c r="F112" s="163">
        <f t="shared" si="26"/>
        <v>16769.5</v>
      </c>
      <c r="G112" s="163">
        <f t="shared" si="27"/>
        <v>17009.5</v>
      </c>
      <c r="H112" s="167">
        <f t="shared" si="28"/>
        <v>2637.6979644694875</v>
      </c>
      <c r="I112" s="317">
        <f t="shared" si="29"/>
        <v>2637.6979644694875</v>
      </c>
      <c r="J112" s="162">
        <f t="shared" si="25"/>
        <v>0</v>
      </c>
      <c r="K112" s="162"/>
      <c r="L112" s="335"/>
      <c r="M112" s="162">
        <f t="shared" si="30"/>
        <v>0</v>
      </c>
      <c r="N112" s="335"/>
      <c r="O112" s="162">
        <f t="shared" si="31"/>
        <v>0</v>
      </c>
      <c r="P112" s="162">
        <f t="shared" si="32"/>
        <v>0</v>
      </c>
    </row>
    <row r="113" spans="2:16">
      <c r="B113" s="9" t="str">
        <f t="shared" si="24"/>
        <v/>
      </c>
      <c r="C113" s="157">
        <f>IF(D93="","-",+C112+1)</f>
        <v>2024</v>
      </c>
      <c r="D113" s="158">
        <f>IF(F112+SUM(E$101:E112)=D$92,F112,D$92-SUM(E$101:E112))</f>
        <v>16769.5</v>
      </c>
      <c r="E113" s="165">
        <f>IF(+J96&lt;F112,J96,D113)</f>
        <v>480</v>
      </c>
      <c r="F113" s="163">
        <f t="shared" si="26"/>
        <v>16289.5</v>
      </c>
      <c r="G113" s="163">
        <f t="shared" si="27"/>
        <v>16529.5</v>
      </c>
      <c r="H113" s="167">
        <f t="shared" si="28"/>
        <v>2576.8087541490577</v>
      </c>
      <c r="I113" s="317">
        <f t="shared" si="29"/>
        <v>2576.8087541490577</v>
      </c>
      <c r="J113" s="162">
        <f t="shared" si="25"/>
        <v>0</v>
      </c>
      <c r="K113" s="162"/>
      <c r="L113" s="335"/>
      <c r="M113" s="162">
        <f t="shared" si="30"/>
        <v>0</v>
      </c>
      <c r="N113" s="335"/>
      <c r="O113" s="162">
        <f t="shared" si="31"/>
        <v>0</v>
      </c>
      <c r="P113" s="162">
        <f t="shared" si="32"/>
        <v>0</v>
      </c>
    </row>
    <row r="114" spans="2:16">
      <c r="B114" s="9" t="str">
        <f t="shared" si="24"/>
        <v/>
      </c>
      <c r="C114" s="157">
        <f>IF(D93="","-",+C113+1)</f>
        <v>2025</v>
      </c>
      <c r="D114" s="158">
        <f>IF(F113+SUM(E$101:E113)=D$92,F113,D$92-SUM(E$101:E113))</f>
        <v>16289.5</v>
      </c>
      <c r="E114" s="165">
        <f>IF(+J96&lt;F113,J96,D114)</f>
        <v>480</v>
      </c>
      <c r="F114" s="163">
        <f t="shared" si="26"/>
        <v>15809.5</v>
      </c>
      <c r="G114" s="163">
        <f t="shared" si="27"/>
        <v>16049.5</v>
      </c>
      <c r="H114" s="167">
        <f t="shared" si="28"/>
        <v>2515.9195438286274</v>
      </c>
      <c r="I114" s="317">
        <f t="shared" si="29"/>
        <v>2515.9195438286274</v>
      </c>
      <c r="J114" s="162">
        <f t="shared" si="25"/>
        <v>0</v>
      </c>
      <c r="K114" s="162"/>
      <c r="L114" s="335"/>
      <c r="M114" s="162">
        <f t="shared" si="30"/>
        <v>0</v>
      </c>
      <c r="N114" s="335"/>
      <c r="O114" s="162">
        <f t="shared" si="31"/>
        <v>0</v>
      </c>
      <c r="P114" s="162">
        <f t="shared" si="32"/>
        <v>0</v>
      </c>
    </row>
    <row r="115" spans="2:16">
      <c r="B115" s="9" t="str">
        <f t="shared" si="24"/>
        <v/>
      </c>
      <c r="C115" s="157">
        <f>IF(D93="","-",+C114+1)</f>
        <v>2026</v>
      </c>
      <c r="D115" s="158">
        <f>IF(F114+SUM(E$101:E114)=D$92,F114,D$92-SUM(E$101:E114))</f>
        <v>15809.5</v>
      </c>
      <c r="E115" s="165">
        <f>IF(+J96&lt;F114,J96,D115)</f>
        <v>480</v>
      </c>
      <c r="F115" s="163">
        <f t="shared" si="26"/>
        <v>15329.5</v>
      </c>
      <c r="G115" s="163">
        <f t="shared" si="27"/>
        <v>15569.5</v>
      </c>
      <c r="H115" s="167">
        <f t="shared" si="28"/>
        <v>2455.0303335081971</v>
      </c>
      <c r="I115" s="317">
        <f t="shared" si="29"/>
        <v>2455.0303335081971</v>
      </c>
      <c r="J115" s="162">
        <f t="shared" si="25"/>
        <v>0</v>
      </c>
      <c r="K115" s="162"/>
      <c r="L115" s="335"/>
      <c r="M115" s="162">
        <f t="shared" si="30"/>
        <v>0</v>
      </c>
      <c r="N115" s="335"/>
      <c r="O115" s="162">
        <f t="shared" si="31"/>
        <v>0</v>
      </c>
      <c r="P115" s="162">
        <f t="shared" si="32"/>
        <v>0</v>
      </c>
    </row>
    <row r="116" spans="2:16">
      <c r="B116" s="9" t="str">
        <f t="shared" si="24"/>
        <v/>
      </c>
      <c r="C116" s="157">
        <f>IF(D93="","-",+C115+1)</f>
        <v>2027</v>
      </c>
      <c r="D116" s="158">
        <f>IF(F115+SUM(E$101:E115)=D$92,F115,D$92-SUM(E$101:E115))</f>
        <v>15329.5</v>
      </c>
      <c r="E116" s="165">
        <f>IF(+J96&lt;F115,J96,D116)</f>
        <v>480</v>
      </c>
      <c r="F116" s="163">
        <f t="shared" si="26"/>
        <v>14849.5</v>
      </c>
      <c r="G116" s="163">
        <f t="shared" si="27"/>
        <v>15089.5</v>
      </c>
      <c r="H116" s="167">
        <f t="shared" si="28"/>
        <v>2394.1411231877673</v>
      </c>
      <c r="I116" s="317">
        <f t="shared" si="29"/>
        <v>2394.1411231877673</v>
      </c>
      <c r="J116" s="162">
        <f t="shared" si="25"/>
        <v>0</v>
      </c>
      <c r="K116" s="162"/>
      <c r="L116" s="335"/>
      <c r="M116" s="162">
        <f t="shared" si="30"/>
        <v>0</v>
      </c>
      <c r="N116" s="335"/>
      <c r="O116" s="162">
        <f t="shared" si="31"/>
        <v>0</v>
      </c>
      <c r="P116" s="162">
        <f t="shared" si="32"/>
        <v>0</v>
      </c>
    </row>
    <row r="117" spans="2:16">
      <c r="B117" s="9" t="str">
        <f t="shared" si="24"/>
        <v/>
      </c>
      <c r="C117" s="157">
        <f>IF(D93="","-",+C116+1)</f>
        <v>2028</v>
      </c>
      <c r="D117" s="158">
        <f>IF(F116+SUM(E$101:E116)=D$92,F116,D$92-SUM(E$101:E116))</f>
        <v>14849.5</v>
      </c>
      <c r="E117" s="165">
        <f>IF(+J96&lt;F116,J96,D117)</f>
        <v>480</v>
      </c>
      <c r="F117" s="163">
        <f t="shared" si="26"/>
        <v>14369.5</v>
      </c>
      <c r="G117" s="163">
        <f t="shared" si="27"/>
        <v>14609.5</v>
      </c>
      <c r="H117" s="167">
        <f t="shared" si="28"/>
        <v>2333.2519128673375</v>
      </c>
      <c r="I117" s="317">
        <f t="shared" si="29"/>
        <v>2333.2519128673375</v>
      </c>
      <c r="J117" s="162">
        <f t="shared" si="25"/>
        <v>0</v>
      </c>
      <c r="K117" s="162"/>
      <c r="L117" s="335"/>
      <c r="M117" s="162">
        <f t="shared" si="30"/>
        <v>0</v>
      </c>
      <c r="N117" s="335"/>
      <c r="O117" s="162">
        <f t="shared" si="31"/>
        <v>0</v>
      </c>
      <c r="P117" s="162">
        <f t="shared" si="32"/>
        <v>0</v>
      </c>
    </row>
    <row r="118" spans="2:16">
      <c r="B118" s="9" t="str">
        <f t="shared" si="24"/>
        <v/>
      </c>
      <c r="C118" s="157">
        <f>IF(D93="","-",+C117+1)</f>
        <v>2029</v>
      </c>
      <c r="D118" s="158">
        <f>IF(F117+SUM(E$101:E117)=D$92,F117,D$92-SUM(E$101:E117))</f>
        <v>14369.5</v>
      </c>
      <c r="E118" s="165">
        <f>IF(+J96&lt;F117,J96,D118)</f>
        <v>480</v>
      </c>
      <c r="F118" s="163">
        <f t="shared" si="26"/>
        <v>13889.5</v>
      </c>
      <c r="G118" s="163">
        <f t="shared" si="27"/>
        <v>14129.5</v>
      </c>
      <c r="H118" s="167">
        <f t="shared" si="28"/>
        <v>2272.3627025469077</v>
      </c>
      <c r="I118" s="317">
        <f t="shared" si="29"/>
        <v>2272.3627025469077</v>
      </c>
      <c r="J118" s="162">
        <f t="shared" si="25"/>
        <v>0</v>
      </c>
      <c r="K118" s="162"/>
      <c r="L118" s="335"/>
      <c r="M118" s="162">
        <f t="shared" si="30"/>
        <v>0</v>
      </c>
      <c r="N118" s="335"/>
      <c r="O118" s="162">
        <f t="shared" si="31"/>
        <v>0</v>
      </c>
      <c r="P118" s="162">
        <f t="shared" si="32"/>
        <v>0</v>
      </c>
    </row>
    <row r="119" spans="2:16">
      <c r="B119" s="9" t="str">
        <f t="shared" si="24"/>
        <v/>
      </c>
      <c r="C119" s="157">
        <f>IF(D93="","-",+C118+1)</f>
        <v>2030</v>
      </c>
      <c r="D119" s="158">
        <f>IF(F118+SUM(E$101:E118)=D$92,F118,D$92-SUM(E$101:E118))</f>
        <v>13889.5</v>
      </c>
      <c r="E119" s="165">
        <f t="shared" ref="E119:E154" si="33">IF(+J$96&lt;F118,J$96,D119)</f>
        <v>480</v>
      </c>
      <c r="F119" s="163">
        <f t="shared" si="26"/>
        <v>13409.5</v>
      </c>
      <c r="G119" s="163">
        <f t="shared" si="27"/>
        <v>13649.5</v>
      </c>
      <c r="H119" s="167">
        <f t="shared" si="28"/>
        <v>2211.4734922264774</v>
      </c>
      <c r="I119" s="317">
        <f t="shared" si="29"/>
        <v>2211.4734922264774</v>
      </c>
      <c r="J119" s="162">
        <f t="shared" si="25"/>
        <v>0</v>
      </c>
      <c r="K119" s="162"/>
      <c r="L119" s="335"/>
      <c r="M119" s="162">
        <f t="shared" si="30"/>
        <v>0</v>
      </c>
      <c r="N119" s="335"/>
      <c r="O119" s="162">
        <f t="shared" si="31"/>
        <v>0</v>
      </c>
      <c r="P119" s="162">
        <f t="shared" si="32"/>
        <v>0</v>
      </c>
    </row>
    <row r="120" spans="2:16">
      <c r="B120" s="9" t="str">
        <f t="shared" si="24"/>
        <v/>
      </c>
      <c r="C120" s="157">
        <f>IF(D93="","-",+C119+1)</f>
        <v>2031</v>
      </c>
      <c r="D120" s="158">
        <f>IF(F119+SUM(E$101:E119)=D$92,F119,D$92-SUM(E$101:E119))</f>
        <v>13409.5</v>
      </c>
      <c r="E120" s="165">
        <f t="shared" si="33"/>
        <v>480</v>
      </c>
      <c r="F120" s="163">
        <f t="shared" si="26"/>
        <v>12929.5</v>
      </c>
      <c r="G120" s="163">
        <f t="shared" si="27"/>
        <v>13169.5</v>
      </c>
      <c r="H120" s="167">
        <f t="shared" si="28"/>
        <v>2150.5842819060472</v>
      </c>
      <c r="I120" s="317">
        <f t="shared" si="29"/>
        <v>2150.5842819060472</v>
      </c>
      <c r="J120" s="162">
        <f t="shared" si="25"/>
        <v>0</v>
      </c>
      <c r="K120" s="162"/>
      <c r="L120" s="335"/>
      <c r="M120" s="162">
        <f t="shared" si="30"/>
        <v>0</v>
      </c>
      <c r="N120" s="335"/>
      <c r="O120" s="162">
        <f t="shared" si="31"/>
        <v>0</v>
      </c>
      <c r="P120" s="162">
        <f t="shared" si="32"/>
        <v>0</v>
      </c>
    </row>
    <row r="121" spans="2:16">
      <c r="B121" s="9" t="str">
        <f t="shared" si="24"/>
        <v/>
      </c>
      <c r="C121" s="157">
        <f>IF(D93="","-",+C120+1)</f>
        <v>2032</v>
      </c>
      <c r="D121" s="158">
        <f>IF(F120+SUM(E$101:E120)=D$92,F120,D$92-SUM(E$101:E120))</f>
        <v>12929.5</v>
      </c>
      <c r="E121" s="165">
        <f t="shared" si="33"/>
        <v>480</v>
      </c>
      <c r="F121" s="163">
        <f t="shared" si="26"/>
        <v>12449.5</v>
      </c>
      <c r="G121" s="163">
        <f t="shared" si="27"/>
        <v>12689.5</v>
      </c>
      <c r="H121" s="167">
        <f t="shared" si="28"/>
        <v>2089.6950715856174</v>
      </c>
      <c r="I121" s="317">
        <f t="shared" si="29"/>
        <v>2089.6950715856174</v>
      </c>
      <c r="J121" s="162">
        <f t="shared" si="25"/>
        <v>0</v>
      </c>
      <c r="K121" s="162"/>
      <c r="L121" s="335"/>
      <c r="M121" s="162">
        <f t="shared" si="30"/>
        <v>0</v>
      </c>
      <c r="N121" s="335"/>
      <c r="O121" s="162">
        <f t="shared" si="31"/>
        <v>0</v>
      </c>
      <c r="P121" s="162">
        <f t="shared" si="32"/>
        <v>0</v>
      </c>
    </row>
    <row r="122" spans="2:16">
      <c r="B122" s="9" t="str">
        <f t="shared" si="24"/>
        <v/>
      </c>
      <c r="C122" s="157">
        <f>IF(D93="","-",+C121+1)</f>
        <v>2033</v>
      </c>
      <c r="D122" s="158">
        <f>IF(F121+SUM(E$101:E121)=D$92,F121,D$92-SUM(E$101:E121))</f>
        <v>12449.5</v>
      </c>
      <c r="E122" s="165">
        <f t="shared" si="33"/>
        <v>480</v>
      </c>
      <c r="F122" s="163">
        <f t="shared" si="26"/>
        <v>11969.5</v>
      </c>
      <c r="G122" s="163">
        <f t="shared" si="27"/>
        <v>12209.5</v>
      </c>
      <c r="H122" s="167">
        <f t="shared" si="28"/>
        <v>2028.8058612651876</v>
      </c>
      <c r="I122" s="317">
        <f t="shared" si="29"/>
        <v>2028.8058612651876</v>
      </c>
      <c r="J122" s="162">
        <f t="shared" si="25"/>
        <v>0</v>
      </c>
      <c r="K122" s="162"/>
      <c r="L122" s="335"/>
      <c r="M122" s="162">
        <f t="shared" si="30"/>
        <v>0</v>
      </c>
      <c r="N122" s="335"/>
      <c r="O122" s="162">
        <f t="shared" si="31"/>
        <v>0</v>
      </c>
      <c r="P122" s="162">
        <f t="shared" si="32"/>
        <v>0</v>
      </c>
    </row>
    <row r="123" spans="2:16">
      <c r="B123" s="9" t="str">
        <f t="shared" si="24"/>
        <v/>
      </c>
      <c r="C123" s="157">
        <f>IF(D93="","-",+C122+1)</f>
        <v>2034</v>
      </c>
      <c r="D123" s="158">
        <f>IF(F122+SUM(E$101:E122)=D$92,F122,D$92-SUM(E$101:E122))</f>
        <v>11969.5</v>
      </c>
      <c r="E123" s="165">
        <f t="shared" si="33"/>
        <v>480</v>
      </c>
      <c r="F123" s="163">
        <f t="shared" si="26"/>
        <v>11489.5</v>
      </c>
      <c r="G123" s="163">
        <f t="shared" si="27"/>
        <v>11729.5</v>
      </c>
      <c r="H123" s="167">
        <f t="shared" si="28"/>
        <v>1967.9166509447575</v>
      </c>
      <c r="I123" s="317">
        <f t="shared" si="29"/>
        <v>1967.9166509447575</v>
      </c>
      <c r="J123" s="162">
        <f t="shared" si="25"/>
        <v>0</v>
      </c>
      <c r="K123" s="162"/>
      <c r="L123" s="335"/>
      <c r="M123" s="162">
        <f t="shared" si="30"/>
        <v>0</v>
      </c>
      <c r="N123" s="335"/>
      <c r="O123" s="162">
        <f t="shared" si="31"/>
        <v>0</v>
      </c>
      <c r="P123" s="162">
        <f t="shared" si="32"/>
        <v>0</v>
      </c>
    </row>
    <row r="124" spans="2:16">
      <c r="B124" s="9" t="str">
        <f t="shared" si="24"/>
        <v/>
      </c>
      <c r="C124" s="157">
        <f>IF(D93="","-",+C123+1)</f>
        <v>2035</v>
      </c>
      <c r="D124" s="158">
        <f>IF(F123+SUM(E$101:E123)=D$92,F123,D$92-SUM(E$101:E123))</f>
        <v>11489.5</v>
      </c>
      <c r="E124" s="165">
        <f t="shared" si="33"/>
        <v>480</v>
      </c>
      <c r="F124" s="163">
        <f t="shared" si="26"/>
        <v>11009.5</v>
      </c>
      <c r="G124" s="163">
        <f t="shared" si="27"/>
        <v>11249.5</v>
      </c>
      <c r="H124" s="167">
        <f t="shared" si="28"/>
        <v>1907.0274406243275</v>
      </c>
      <c r="I124" s="317">
        <f t="shared" si="29"/>
        <v>1907.0274406243275</v>
      </c>
      <c r="J124" s="162">
        <f t="shared" si="25"/>
        <v>0</v>
      </c>
      <c r="K124" s="162"/>
      <c r="L124" s="335"/>
      <c r="M124" s="162">
        <f t="shared" si="30"/>
        <v>0</v>
      </c>
      <c r="N124" s="335"/>
      <c r="O124" s="162">
        <f t="shared" si="31"/>
        <v>0</v>
      </c>
      <c r="P124" s="162">
        <f t="shared" si="32"/>
        <v>0</v>
      </c>
    </row>
    <row r="125" spans="2:16">
      <c r="B125" s="9" t="str">
        <f t="shared" si="24"/>
        <v/>
      </c>
      <c r="C125" s="157">
        <f>IF(D93="","-",+C124+1)</f>
        <v>2036</v>
      </c>
      <c r="D125" s="158">
        <f>IF(F124+SUM(E$101:E124)=D$92,F124,D$92-SUM(E$101:E124))</f>
        <v>11009.5</v>
      </c>
      <c r="E125" s="165">
        <f t="shared" si="33"/>
        <v>480</v>
      </c>
      <c r="F125" s="163">
        <f t="shared" si="26"/>
        <v>10529.5</v>
      </c>
      <c r="G125" s="163">
        <f t="shared" si="27"/>
        <v>10769.5</v>
      </c>
      <c r="H125" s="167">
        <f t="shared" si="28"/>
        <v>1846.1382303038974</v>
      </c>
      <c r="I125" s="317">
        <f t="shared" si="29"/>
        <v>1846.1382303038974</v>
      </c>
      <c r="J125" s="162">
        <f t="shared" si="25"/>
        <v>0</v>
      </c>
      <c r="K125" s="162"/>
      <c r="L125" s="335"/>
      <c r="M125" s="162">
        <f t="shared" si="30"/>
        <v>0</v>
      </c>
      <c r="N125" s="335"/>
      <c r="O125" s="162">
        <f t="shared" si="31"/>
        <v>0</v>
      </c>
      <c r="P125" s="162">
        <f t="shared" si="32"/>
        <v>0</v>
      </c>
    </row>
    <row r="126" spans="2:16">
      <c r="B126" s="9" t="str">
        <f t="shared" si="24"/>
        <v/>
      </c>
      <c r="C126" s="157">
        <f>IF(D93="","-",+C125+1)</f>
        <v>2037</v>
      </c>
      <c r="D126" s="158">
        <f>IF(F125+SUM(E$101:E125)=D$92,F125,D$92-SUM(E$101:E125))</f>
        <v>10529.5</v>
      </c>
      <c r="E126" s="165">
        <f t="shared" si="33"/>
        <v>480</v>
      </c>
      <c r="F126" s="163">
        <f t="shared" si="26"/>
        <v>10049.5</v>
      </c>
      <c r="G126" s="163">
        <f t="shared" si="27"/>
        <v>10289.5</v>
      </c>
      <c r="H126" s="167">
        <f t="shared" si="28"/>
        <v>1785.2490199834676</v>
      </c>
      <c r="I126" s="317">
        <f t="shared" si="29"/>
        <v>1785.2490199834676</v>
      </c>
      <c r="J126" s="162">
        <f t="shared" si="25"/>
        <v>0</v>
      </c>
      <c r="K126" s="162"/>
      <c r="L126" s="335"/>
      <c r="M126" s="162">
        <f t="shared" si="30"/>
        <v>0</v>
      </c>
      <c r="N126" s="335"/>
      <c r="O126" s="162">
        <f t="shared" si="31"/>
        <v>0</v>
      </c>
      <c r="P126" s="162">
        <f t="shared" si="32"/>
        <v>0</v>
      </c>
    </row>
    <row r="127" spans="2:16">
      <c r="B127" s="9" t="str">
        <f t="shared" si="24"/>
        <v/>
      </c>
      <c r="C127" s="157">
        <f>IF(D93="","-",+C126+1)</f>
        <v>2038</v>
      </c>
      <c r="D127" s="158">
        <f>IF(F126+SUM(E$101:E126)=D$92,F126,D$92-SUM(E$101:E126))</f>
        <v>10049.5</v>
      </c>
      <c r="E127" s="165">
        <f t="shared" si="33"/>
        <v>480</v>
      </c>
      <c r="F127" s="163">
        <f t="shared" si="26"/>
        <v>9569.5</v>
      </c>
      <c r="G127" s="163">
        <f t="shared" si="27"/>
        <v>9809.5</v>
      </c>
      <c r="H127" s="167">
        <f t="shared" si="28"/>
        <v>1724.3598096630376</v>
      </c>
      <c r="I127" s="317">
        <f t="shared" si="29"/>
        <v>1724.3598096630376</v>
      </c>
      <c r="J127" s="162">
        <f t="shared" si="25"/>
        <v>0</v>
      </c>
      <c r="K127" s="162"/>
      <c r="L127" s="335"/>
      <c r="M127" s="162">
        <f t="shared" si="30"/>
        <v>0</v>
      </c>
      <c r="N127" s="335"/>
      <c r="O127" s="162">
        <f t="shared" si="31"/>
        <v>0</v>
      </c>
      <c r="P127" s="162">
        <f t="shared" si="32"/>
        <v>0</v>
      </c>
    </row>
    <row r="128" spans="2:16">
      <c r="B128" s="9" t="str">
        <f t="shared" si="24"/>
        <v/>
      </c>
      <c r="C128" s="157">
        <f>IF(D93="","-",+C127+1)</f>
        <v>2039</v>
      </c>
      <c r="D128" s="158">
        <f>IF(F127+SUM(E$101:E127)=D$92,F127,D$92-SUM(E$101:E127))</f>
        <v>9569.5</v>
      </c>
      <c r="E128" s="165">
        <f t="shared" si="33"/>
        <v>480</v>
      </c>
      <c r="F128" s="163">
        <f t="shared" si="26"/>
        <v>9089.5</v>
      </c>
      <c r="G128" s="163">
        <f t="shared" si="27"/>
        <v>9329.5</v>
      </c>
      <c r="H128" s="167">
        <f t="shared" si="28"/>
        <v>1663.4705993426076</v>
      </c>
      <c r="I128" s="317">
        <f t="shared" si="29"/>
        <v>1663.4705993426076</v>
      </c>
      <c r="J128" s="162">
        <f t="shared" si="25"/>
        <v>0</v>
      </c>
      <c r="K128" s="162"/>
      <c r="L128" s="335"/>
      <c r="M128" s="162">
        <f t="shared" si="30"/>
        <v>0</v>
      </c>
      <c r="N128" s="335"/>
      <c r="O128" s="162">
        <f t="shared" si="31"/>
        <v>0</v>
      </c>
      <c r="P128" s="162">
        <f t="shared" si="32"/>
        <v>0</v>
      </c>
    </row>
    <row r="129" spans="2:16">
      <c r="B129" s="9" t="str">
        <f t="shared" si="24"/>
        <v/>
      </c>
      <c r="C129" s="157">
        <f>IF(D93="","-",+C128+1)</f>
        <v>2040</v>
      </c>
      <c r="D129" s="158">
        <f>IF(F128+SUM(E$101:E128)=D$92,F128,D$92-SUM(E$101:E128))</f>
        <v>9089.5</v>
      </c>
      <c r="E129" s="165">
        <f t="shared" si="33"/>
        <v>480</v>
      </c>
      <c r="F129" s="163">
        <f t="shared" si="26"/>
        <v>8609.5</v>
      </c>
      <c r="G129" s="163">
        <f t="shared" si="27"/>
        <v>8849.5</v>
      </c>
      <c r="H129" s="167">
        <f t="shared" si="28"/>
        <v>1602.5813890221775</v>
      </c>
      <c r="I129" s="317">
        <f t="shared" si="29"/>
        <v>1602.5813890221775</v>
      </c>
      <c r="J129" s="162">
        <f t="shared" si="25"/>
        <v>0</v>
      </c>
      <c r="K129" s="162"/>
      <c r="L129" s="335"/>
      <c r="M129" s="162">
        <f t="shared" si="30"/>
        <v>0</v>
      </c>
      <c r="N129" s="335"/>
      <c r="O129" s="162">
        <f t="shared" si="31"/>
        <v>0</v>
      </c>
      <c r="P129" s="162">
        <f t="shared" si="32"/>
        <v>0</v>
      </c>
    </row>
    <row r="130" spans="2:16">
      <c r="B130" s="9" t="str">
        <f t="shared" si="24"/>
        <v/>
      </c>
      <c r="C130" s="157">
        <f>IF(D93="","-",+C129+1)</f>
        <v>2041</v>
      </c>
      <c r="D130" s="158">
        <f>IF(F129+SUM(E$101:E129)=D$92,F129,D$92-SUM(E$101:E129))</f>
        <v>8609.5</v>
      </c>
      <c r="E130" s="165">
        <f t="shared" si="33"/>
        <v>480</v>
      </c>
      <c r="F130" s="163">
        <f t="shared" si="26"/>
        <v>8129.5</v>
      </c>
      <c r="G130" s="163">
        <f t="shared" si="27"/>
        <v>8369.5</v>
      </c>
      <c r="H130" s="167">
        <f t="shared" si="28"/>
        <v>1541.6921787017475</v>
      </c>
      <c r="I130" s="317">
        <f t="shared" si="29"/>
        <v>1541.6921787017475</v>
      </c>
      <c r="J130" s="162">
        <f t="shared" si="25"/>
        <v>0</v>
      </c>
      <c r="K130" s="162"/>
      <c r="L130" s="335"/>
      <c r="M130" s="162">
        <f t="shared" si="30"/>
        <v>0</v>
      </c>
      <c r="N130" s="335"/>
      <c r="O130" s="162">
        <f t="shared" si="31"/>
        <v>0</v>
      </c>
      <c r="P130" s="162">
        <f t="shared" si="32"/>
        <v>0</v>
      </c>
    </row>
    <row r="131" spans="2:16">
      <c r="B131" s="9" t="str">
        <f t="shared" si="24"/>
        <v/>
      </c>
      <c r="C131" s="157">
        <f>IF(D93="","-",+C130+1)</f>
        <v>2042</v>
      </c>
      <c r="D131" s="158">
        <f>IF(F130+SUM(E$101:E130)=D$92,F130,D$92-SUM(E$101:E130))</f>
        <v>8129.5</v>
      </c>
      <c r="E131" s="165">
        <f t="shared" si="33"/>
        <v>480</v>
      </c>
      <c r="F131" s="163">
        <f t="shared" si="26"/>
        <v>7649.5</v>
      </c>
      <c r="G131" s="163">
        <f t="shared" si="27"/>
        <v>7889.5</v>
      </c>
      <c r="H131" s="167">
        <f t="shared" si="28"/>
        <v>1480.8029683813174</v>
      </c>
      <c r="I131" s="317">
        <f t="shared" si="29"/>
        <v>1480.8029683813174</v>
      </c>
      <c r="J131" s="162">
        <f t="shared" si="25"/>
        <v>0</v>
      </c>
      <c r="K131" s="162"/>
      <c r="L131" s="335"/>
      <c r="M131" s="162">
        <f t="shared" ref="M131:M154" si="34">IF(L541&lt;&gt;0,+H541-L541,0)</f>
        <v>0</v>
      </c>
      <c r="N131" s="335"/>
      <c r="O131" s="162">
        <f t="shared" ref="O131:O154" si="35">IF(N541&lt;&gt;0,+I541-N541,0)</f>
        <v>0</v>
      </c>
      <c r="P131" s="162">
        <f t="shared" ref="P131:P154" si="36">+O541-M541</f>
        <v>0</v>
      </c>
    </row>
    <row r="132" spans="2:16">
      <c r="B132" s="9" t="str">
        <f t="shared" si="24"/>
        <v/>
      </c>
      <c r="C132" s="157">
        <f>IF(D93="","-",+C131+1)</f>
        <v>2043</v>
      </c>
      <c r="D132" s="158">
        <f>IF(F131+SUM(E$101:E131)=D$92,F131,D$92-SUM(E$101:E131))</f>
        <v>7649.5</v>
      </c>
      <c r="E132" s="165">
        <f t="shared" si="33"/>
        <v>480</v>
      </c>
      <c r="F132" s="163">
        <f t="shared" si="26"/>
        <v>7169.5</v>
      </c>
      <c r="G132" s="163">
        <f t="shared" si="27"/>
        <v>7409.5</v>
      </c>
      <c r="H132" s="167">
        <f t="shared" si="28"/>
        <v>1419.9137580608876</v>
      </c>
      <c r="I132" s="317">
        <f t="shared" si="29"/>
        <v>1419.9137580608876</v>
      </c>
      <c r="J132" s="162">
        <f t="shared" si="25"/>
        <v>0</v>
      </c>
      <c r="K132" s="162"/>
      <c r="L132" s="335"/>
      <c r="M132" s="162">
        <f t="shared" si="34"/>
        <v>0</v>
      </c>
      <c r="N132" s="335"/>
      <c r="O132" s="162">
        <f t="shared" si="35"/>
        <v>0</v>
      </c>
      <c r="P132" s="162">
        <f t="shared" si="36"/>
        <v>0</v>
      </c>
    </row>
    <row r="133" spans="2:16">
      <c r="B133" s="9" t="str">
        <f t="shared" si="24"/>
        <v/>
      </c>
      <c r="C133" s="157">
        <f>IF(D93="","-",+C132+1)</f>
        <v>2044</v>
      </c>
      <c r="D133" s="158">
        <f>IF(F132+SUM(E$101:E132)=D$92,F132,D$92-SUM(E$101:E132))</f>
        <v>7169.5</v>
      </c>
      <c r="E133" s="165">
        <f t="shared" si="33"/>
        <v>480</v>
      </c>
      <c r="F133" s="163">
        <f t="shared" si="26"/>
        <v>6689.5</v>
      </c>
      <c r="G133" s="163">
        <f t="shared" ref="G133:G154" si="37">+(F133+D133)/2</f>
        <v>6929.5</v>
      </c>
      <c r="H133" s="167">
        <f t="shared" ref="H133:H154" si="38">+J$94*G133+E133</f>
        <v>1359.0245477404576</v>
      </c>
      <c r="I133" s="317">
        <f t="shared" ref="I133:I154" si="39">+J$95*G133+E133</f>
        <v>1359.0245477404576</v>
      </c>
      <c r="J133" s="162">
        <f t="shared" ref="J133:J154" si="40">+I541-H541</f>
        <v>0</v>
      </c>
      <c r="K133" s="162"/>
      <c r="L133" s="335"/>
      <c r="M133" s="162">
        <f t="shared" si="34"/>
        <v>0</v>
      </c>
      <c r="N133" s="335"/>
      <c r="O133" s="162">
        <f t="shared" si="35"/>
        <v>0</v>
      </c>
      <c r="P133" s="162">
        <f t="shared" si="36"/>
        <v>0</v>
      </c>
    </row>
    <row r="134" spans="2:16">
      <c r="B134" s="9" t="str">
        <f t="shared" ref="B134:B154" si="41">IF(D134=F133,"","IU")</f>
        <v/>
      </c>
      <c r="C134" s="157">
        <f>IF(D93="","-",+C133+1)</f>
        <v>2045</v>
      </c>
      <c r="D134" s="158">
        <f>IF(F133+SUM(E$101:E133)=D$92,F133,D$92-SUM(E$101:E133))</f>
        <v>6689.5</v>
      </c>
      <c r="E134" s="165">
        <f t="shared" si="33"/>
        <v>480</v>
      </c>
      <c r="F134" s="163">
        <f t="shared" ref="F134:F154" si="42">+D134-E134</f>
        <v>6209.5</v>
      </c>
      <c r="G134" s="163">
        <f t="shared" si="37"/>
        <v>6449.5</v>
      </c>
      <c r="H134" s="167">
        <f t="shared" si="38"/>
        <v>1298.1353374200276</v>
      </c>
      <c r="I134" s="317">
        <f t="shared" si="39"/>
        <v>1298.1353374200276</v>
      </c>
      <c r="J134" s="162">
        <f t="shared" si="40"/>
        <v>0</v>
      </c>
      <c r="K134" s="162"/>
      <c r="L134" s="335"/>
      <c r="M134" s="162">
        <f t="shared" si="34"/>
        <v>0</v>
      </c>
      <c r="N134" s="335"/>
      <c r="O134" s="162">
        <f t="shared" si="35"/>
        <v>0</v>
      </c>
      <c r="P134" s="162">
        <f t="shared" si="36"/>
        <v>0</v>
      </c>
    </row>
    <row r="135" spans="2:16">
      <c r="B135" s="9" t="str">
        <f t="shared" si="41"/>
        <v/>
      </c>
      <c r="C135" s="157">
        <f>IF(D93="","-",+C134+1)</f>
        <v>2046</v>
      </c>
      <c r="D135" s="158">
        <f>IF(F134+SUM(E$101:E134)=D$92,F134,D$92-SUM(E$101:E134))</f>
        <v>6209.5</v>
      </c>
      <c r="E135" s="165">
        <f t="shared" si="33"/>
        <v>480</v>
      </c>
      <c r="F135" s="163">
        <f t="shared" si="42"/>
        <v>5729.5</v>
      </c>
      <c r="G135" s="163">
        <f t="shared" si="37"/>
        <v>5969.5</v>
      </c>
      <c r="H135" s="167">
        <f t="shared" si="38"/>
        <v>1237.2461270995977</v>
      </c>
      <c r="I135" s="317">
        <f t="shared" si="39"/>
        <v>1237.2461270995977</v>
      </c>
      <c r="J135" s="162">
        <f t="shared" si="40"/>
        <v>0</v>
      </c>
      <c r="K135" s="162"/>
      <c r="L135" s="335"/>
      <c r="M135" s="162">
        <f t="shared" si="34"/>
        <v>0</v>
      </c>
      <c r="N135" s="335"/>
      <c r="O135" s="162">
        <f t="shared" si="35"/>
        <v>0</v>
      </c>
      <c r="P135" s="162">
        <f t="shared" si="36"/>
        <v>0</v>
      </c>
    </row>
    <row r="136" spans="2:16">
      <c r="B136" s="9" t="str">
        <f t="shared" si="41"/>
        <v/>
      </c>
      <c r="C136" s="157">
        <f>IF(D93="","-",+C135+1)</f>
        <v>2047</v>
      </c>
      <c r="D136" s="158">
        <f>IF(F135+SUM(E$101:E135)=D$92,F135,D$92-SUM(E$101:E135))</f>
        <v>5729.5</v>
      </c>
      <c r="E136" s="165">
        <f t="shared" si="33"/>
        <v>480</v>
      </c>
      <c r="F136" s="163">
        <f t="shared" si="42"/>
        <v>5249.5</v>
      </c>
      <c r="G136" s="163">
        <f t="shared" si="37"/>
        <v>5489.5</v>
      </c>
      <c r="H136" s="167">
        <f t="shared" si="38"/>
        <v>1176.3569167791675</v>
      </c>
      <c r="I136" s="317">
        <f t="shared" si="39"/>
        <v>1176.3569167791675</v>
      </c>
      <c r="J136" s="162">
        <f t="shared" si="40"/>
        <v>0</v>
      </c>
      <c r="K136" s="162"/>
      <c r="L136" s="335"/>
      <c r="M136" s="162">
        <f t="shared" si="34"/>
        <v>0</v>
      </c>
      <c r="N136" s="335"/>
      <c r="O136" s="162">
        <f t="shared" si="35"/>
        <v>0</v>
      </c>
      <c r="P136" s="162">
        <f t="shared" si="36"/>
        <v>0</v>
      </c>
    </row>
    <row r="137" spans="2:16">
      <c r="B137" s="9" t="str">
        <f t="shared" si="41"/>
        <v/>
      </c>
      <c r="C137" s="157">
        <f>IF(D93="","-",+C136+1)</f>
        <v>2048</v>
      </c>
      <c r="D137" s="158">
        <f>IF(F136+SUM(E$101:E136)=D$92,F136,D$92-SUM(E$101:E136))</f>
        <v>5249.5</v>
      </c>
      <c r="E137" s="165">
        <f t="shared" si="33"/>
        <v>480</v>
      </c>
      <c r="F137" s="163">
        <f t="shared" si="42"/>
        <v>4769.5</v>
      </c>
      <c r="G137" s="163">
        <f t="shared" si="37"/>
        <v>5009.5</v>
      </c>
      <c r="H137" s="167">
        <f t="shared" si="38"/>
        <v>1115.4677064587377</v>
      </c>
      <c r="I137" s="317">
        <f t="shared" si="39"/>
        <v>1115.4677064587377</v>
      </c>
      <c r="J137" s="162">
        <f t="shared" si="40"/>
        <v>0</v>
      </c>
      <c r="K137" s="162"/>
      <c r="L137" s="335"/>
      <c r="M137" s="162">
        <f t="shared" si="34"/>
        <v>0</v>
      </c>
      <c r="N137" s="335"/>
      <c r="O137" s="162">
        <f t="shared" si="35"/>
        <v>0</v>
      </c>
      <c r="P137" s="162">
        <f t="shared" si="36"/>
        <v>0</v>
      </c>
    </row>
    <row r="138" spans="2:16">
      <c r="B138" s="9" t="str">
        <f t="shared" si="41"/>
        <v/>
      </c>
      <c r="C138" s="157">
        <f>IF(D93="","-",+C137+1)</f>
        <v>2049</v>
      </c>
      <c r="D138" s="158">
        <f>IF(F137+SUM(E$101:E137)=D$92,F137,D$92-SUM(E$101:E137))</f>
        <v>4769.5</v>
      </c>
      <c r="E138" s="165">
        <f t="shared" si="33"/>
        <v>480</v>
      </c>
      <c r="F138" s="163">
        <f t="shared" si="42"/>
        <v>4289.5</v>
      </c>
      <c r="G138" s="163">
        <f t="shared" si="37"/>
        <v>4529.5</v>
      </c>
      <c r="H138" s="167">
        <f t="shared" si="38"/>
        <v>1054.5784961383076</v>
      </c>
      <c r="I138" s="317">
        <f t="shared" si="39"/>
        <v>1054.5784961383076</v>
      </c>
      <c r="J138" s="162">
        <f t="shared" si="40"/>
        <v>0</v>
      </c>
      <c r="K138" s="162"/>
      <c r="L138" s="335"/>
      <c r="M138" s="162">
        <f t="shared" si="34"/>
        <v>0</v>
      </c>
      <c r="N138" s="335"/>
      <c r="O138" s="162">
        <f t="shared" si="35"/>
        <v>0</v>
      </c>
      <c r="P138" s="162">
        <f t="shared" si="36"/>
        <v>0</v>
      </c>
    </row>
    <row r="139" spans="2:16">
      <c r="B139" s="9" t="str">
        <f t="shared" si="41"/>
        <v/>
      </c>
      <c r="C139" s="157">
        <f>IF(D93="","-",+C138+1)</f>
        <v>2050</v>
      </c>
      <c r="D139" s="158">
        <f>IF(F138+SUM(E$101:E138)=D$92,F138,D$92-SUM(E$101:E138))</f>
        <v>4289.5</v>
      </c>
      <c r="E139" s="165">
        <f t="shared" si="33"/>
        <v>480</v>
      </c>
      <c r="F139" s="163">
        <f t="shared" si="42"/>
        <v>3809.5</v>
      </c>
      <c r="G139" s="163">
        <f t="shared" si="37"/>
        <v>4049.5</v>
      </c>
      <c r="H139" s="167">
        <f t="shared" si="38"/>
        <v>993.68928581787759</v>
      </c>
      <c r="I139" s="317">
        <f t="shared" si="39"/>
        <v>993.68928581787759</v>
      </c>
      <c r="J139" s="162">
        <f t="shared" si="40"/>
        <v>0</v>
      </c>
      <c r="K139" s="162"/>
      <c r="L139" s="335"/>
      <c r="M139" s="162">
        <f t="shared" si="34"/>
        <v>0</v>
      </c>
      <c r="N139" s="335"/>
      <c r="O139" s="162">
        <f t="shared" si="35"/>
        <v>0</v>
      </c>
      <c r="P139" s="162">
        <f t="shared" si="36"/>
        <v>0</v>
      </c>
    </row>
    <row r="140" spans="2:16">
      <c r="B140" s="9" t="str">
        <f t="shared" si="41"/>
        <v/>
      </c>
      <c r="C140" s="157">
        <f>IF(D93="","-",+C139+1)</f>
        <v>2051</v>
      </c>
      <c r="D140" s="158">
        <f>IF(F139+SUM(E$101:E139)=D$92,F139,D$92-SUM(E$101:E139))</f>
        <v>3809.5</v>
      </c>
      <c r="E140" s="165">
        <f t="shared" si="33"/>
        <v>480</v>
      </c>
      <c r="F140" s="163">
        <f t="shared" si="42"/>
        <v>3329.5</v>
      </c>
      <c r="G140" s="163">
        <f t="shared" si="37"/>
        <v>3569.5</v>
      </c>
      <c r="H140" s="167">
        <f t="shared" si="38"/>
        <v>932.80007549744755</v>
      </c>
      <c r="I140" s="317">
        <f t="shared" si="39"/>
        <v>932.80007549744755</v>
      </c>
      <c r="J140" s="162">
        <f t="shared" si="40"/>
        <v>0</v>
      </c>
      <c r="K140" s="162"/>
      <c r="L140" s="335"/>
      <c r="M140" s="162">
        <f t="shared" si="34"/>
        <v>0</v>
      </c>
      <c r="N140" s="335"/>
      <c r="O140" s="162">
        <f t="shared" si="35"/>
        <v>0</v>
      </c>
      <c r="P140" s="162">
        <f t="shared" si="36"/>
        <v>0</v>
      </c>
    </row>
    <row r="141" spans="2:16">
      <c r="B141" s="9" t="str">
        <f t="shared" si="41"/>
        <v/>
      </c>
      <c r="C141" s="157">
        <f>IF(D93="","-",+C140+1)</f>
        <v>2052</v>
      </c>
      <c r="D141" s="158">
        <f>IF(F140+SUM(E$101:E140)=D$92,F140,D$92-SUM(E$101:E140))</f>
        <v>3329.5</v>
      </c>
      <c r="E141" s="165">
        <f t="shared" si="33"/>
        <v>480</v>
      </c>
      <c r="F141" s="163">
        <f t="shared" si="42"/>
        <v>2849.5</v>
      </c>
      <c r="G141" s="163">
        <f t="shared" si="37"/>
        <v>3089.5</v>
      </c>
      <c r="H141" s="167">
        <f t="shared" si="38"/>
        <v>871.91086517701763</v>
      </c>
      <c r="I141" s="317">
        <f t="shared" si="39"/>
        <v>871.91086517701763</v>
      </c>
      <c r="J141" s="162">
        <f t="shared" si="40"/>
        <v>0</v>
      </c>
      <c r="K141" s="162"/>
      <c r="L141" s="335"/>
      <c r="M141" s="162">
        <f t="shared" si="34"/>
        <v>0</v>
      </c>
      <c r="N141" s="335"/>
      <c r="O141" s="162">
        <f t="shared" si="35"/>
        <v>0</v>
      </c>
      <c r="P141" s="162">
        <f t="shared" si="36"/>
        <v>0</v>
      </c>
    </row>
    <row r="142" spans="2:16">
      <c r="B142" s="9" t="str">
        <f t="shared" si="41"/>
        <v/>
      </c>
      <c r="C142" s="157">
        <f>IF(D93="","-",+C141+1)</f>
        <v>2053</v>
      </c>
      <c r="D142" s="158">
        <f>IF(F141+SUM(E$101:E141)=D$92,F141,D$92-SUM(E$101:E141))</f>
        <v>2849.5</v>
      </c>
      <c r="E142" s="165">
        <f t="shared" si="33"/>
        <v>480</v>
      </c>
      <c r="F142" s="163">
        <f t="shared" si="42"/>
        <v>2369.5</v>
      </c>
      <c r="G142" s="163">
        <f t="shared" si="37"/>
        <v>2609.5</v>
      </c>
      <c r="H142" s="167">
        <f t="shared" si="38"/>
        <v>811.0216548565877</v>
      </c>
      <c r="I142" s="317">
        <f t="shared" si="39"/>
        <v>811.0216548565877</v>
      </c>
      <c r="J142" s="162">
        <f t="shared" si="40"/>
        <v>0</v>
      </c>
      <c r="K142" s="162"/>
      <c r="L142" s="335"/>
      <c r="M142" s="162">
        <f t="shared" si="34"/>
        <v>0</v>
      </c>
      <c r="N142" s="335"/>
      <c r="O142" s="162">
        <f t="shared" si="35"/>
        <v>0</v>
      </c>
      <c r="P142" s="162">
        <f t="shared" si="36"/>
        <v>0</v>
      </c>
    </row>
    <row r="143" spans="2:16">
      <c r="B143" s="9" t="str">
        <f t="shared" si="41"/>
        <v/>
      </c>
      <c r="C143" s="157">
        <f>IF(D93="","-",+C142+1)</f>
        <v>2054</v>
      </c>
      <c r="D143" s="158">
        <f>IF(F142+SUM(E$101:E142)=D$92,F142,D$92-SUM(E$101:E142))</f>
        <v>2369.5</v>
      </c>
      <c r="E143" s="165">
        <f t="shared" si="33"/>
        <v>480</v>
      </c>
      <c r="F143" s="163">
        <f t="shared" si="42"/>
        <v>1889.5</v>
      </c>
      <c r="G143" s="163">
        <f t="shared" si="37"/>
        <v>2129.5</v>
      </c>
      <c r="H143" s="167">
        <f t="shared" si="38"/>
        <v>750.13244453615766</v>
      </c>
      <c r="I143" s="317">
        <f t="shared" si="39"/>
        <v>750.13244453615766</v>
      </c>
      <c r="J143" s="162">
        <f t="shared" si="40"/>
        <v>0</v>
      </c>
      <c r="K143" s="162"/>
      <c r="L143" s="335"/>
      <c r="M143" s="162">
        <f t="shared" si="34"/>
        <v>0</v>
      </c>
      <c r="N143" s="335"/>
      <c r="O143" s="162">
        <f t="shared" si="35"/>
        <v>0</v>
      </c>
      <c r="P143" s="162">
        <f t="shared" si="36"/>
        <v>0</v>
      </c>
    </row>
    <row r="144" spans="2:16">
      <c r="B144" s="9" t="str">
        <f t="shared" si="41"/>
        <v/>
      </c>
      <c r="C144" s="157">
        <f>IF(D93="","-",+C143+1)</f>
        <v>2055</v>
      </c>
      <c r="D144" s="158">
        <f>IF(F143+SUM(E$101:E143)=D$92,F143,D$92-SUM(E$101:E143))</f>
        <v>1889.5</v>
      </c>
      <c r="E144" s="165">
        <f t="shared" si="33"/>
        <v>480</v>
      </c>
      <c r="F144" s="163">
        <f t="shared" si="42"/>
        <v>1409.5</v>
      </c>
      <c r="G144" s="163">
        <f t="shared" si="37"/>
        <v>1649.5</v>
      </c>
      <c r="H144" s="167">
        <f t="shared" si="38"/>
        <v>689.24323421572763</v>
      </c>
      <c r="I144" s="317">
        <f t="shared" si="39"/>
        <v>689.24323421572763</v>
      </c>
      <c r="J144" s="162">
        <f t="shared" si="40"/>
        <v>0</v>
      </c>
      <c r="K144" s="162"/>
      <c r="L144" s="335"/>
      <c r="M144" s="162">
        <f t="shared" si="34"/>
        <v>0</v>
      </c>
      <c r="N144" s="335"/>
      <c r="O144" s="162">
        <f t="shared" si="35"/>
        <v>0</v>
      </c>
      <c r="P144" s="162">
        <f t="shared" si="36"/>
        <v>0</v>
      </c>
    </row>
    <row r="145" spans="2:16">
      <c r="B145" s="9" t="str">
        <f t="shared" si="41"/>
        <v/>
      </c>
      <c r="C145" s="157">
        <f>IF(D93="","-",+C144+1)</f>
        <v>2056</v>
      </c>
      <c r="D145" s="158">
        <f>IF(F144+SUM(E$101:E144)=D$92,F144,D$92-SUM(E$101:E144))</f>
        <v>1409.5</v>
      </c>
      <c r="E145" s="165">
        <f t="shared" si="33"/>
        <v>480</v>
      </c>
      <c r="F145" s="163">
        <f t="shared" si="42"/>
        <v>929.5</v>
      </c>
      <c r="G145" s="163">
        <f t="shared" si="37"/>
        <v>1169.5</v>
      </c>
      <c r="H145" s="167">
        <f t="shared" si="38"/>
        <v>628.3540238952977</v>
      </c>
      <c r="I145" s="317">
        <f t="shared" si="39"/>
        <v>628.3540238952977</v>
      </c>
      <c r="J145" s="162">
        <f t="shared" si="40"/>
        <v>0</v>
      </c>
      <c r="K145" s="162"/>
      <c r="L145" s="335"/>
      <c r="M145" s="162">
        <f t="shared" si="34"/>
        <v>0</v>
      </c>
      <c r="N145" s="335"/>
      <c r="O145" s="162">
        <f t="shared" si="35"/>
        <v>0</v>
      </c>
      <c r="P145" s="162">
        <f t="shared" si="36"/>
        <v>0</v>
      </c>
    </row>
    <row r="146" spans="2:16">
      <c r="B146" s="9" t="str">
        <f t="shared" si="41"/>
        <v/>
      </c>
      <c r="C146" s="157">
        <f>IF(D93="","-",+C145+1)</f>
        <v>2057</v>
      </c>
      <c r="D146" s="158">
        <f>IF(F145+SUM(E$101:E145)=D$92,F145,D$92-SUM(E$101:E145))</f>
        <v>929.5</v>
      </c>
      <c r="E146" s="165">
        <f t="shared" si="33"/>
        <v>480</v>
      </c>
      <c r="F146" s="163">
        <f t="shared" si="42"/>
        <v>449.5</v>
      </c>
      <c r="G146" s="163">
        <f t="shared" si="37"/>
        <v>689.5</v>
      </c>
      <c r="H146" s="167">
        <f t="shared" si="38"/>
        <v>567.46481357486766</v>
      </c>
      <c r="I146" s="317">
        <f t="shared" si="39"/>
        <v>567.46481357486766</v>
      </c>
      <c r="J146" s="162">
        <f t="shared" si="40"/>
        <v>0</v>
      </c>
      <c r="K146" s="162"/>
      <c r="L146" s="335"/>
      <c r="M146" s="162">
        <f t="shared" si="34"/>
        <v>0</v>
      </c>
      <c r="N146" s="335"/>
      <c r="O146" s="162">
        <f t="shared" si="35"/>
        <v>0</v>
      </c>
      <c r="P146" s="162">
        <f t="shared" si="36"/>
        <v>0</v>
      </c>
    </row>
    <row r="147" spans="2:16">
      <c r="B147" s="9" t="str">
        <f t="shared" si="41"/>
        <v/>
      </c>
      <c r="C147" s="157">
        <f>IF(D93="","-",+C146+1)</f>
        <v>2058</v>
      </c>
      <c r="D147" s="158">
        <f>IF(F146+SUM(E$101:E146)=D$92,F146,D$92-SUM(E$101:E146))</f>
        <v>449.5</v>
      </c>
      <c r="E147" s="165">
        <f t="shared" si="33"/>
        <v>449.5</v>
      </c>
      <c r="F147" s="163">
        <f t="shared" si="42"/>
        <v>0</v>
      </c>
      <c r="G147" s="163">
        <f t="shared" si="37"/>
        <v>224.75</v>
      </c>
      <c r="H147" s="167">
        <f t="shared" si="38"/>
        <v>478.01010420732632</v>
      </c>
      <c r="I147" s="317">
        <f t="shared" si="39"/>
        <v>478.01010420732632</v>
      </c>
      <c r="J147" s="162">
        <f t="shared" si="40"/>
        <v>0</v>
      </c>
      <c r="K147" s="162"/>
      <c r="L147" s="335"/>
      <c r="M147" s="162">
        <f t="shared" si="34"/>
        <v>0</v>
      </c>
      <c r="N147" s="335"/>
      <c r="O147" s="162">
        <f t="shared" si="35"/>
        <v>0</v>
      </c>
      <c r="P147" s="162">
        <f t="shared" si="36"/>
        <v>0</v>
      </c>
    </row>
    <row r="148" spans="2:16">
      <c r="B148" s="9" t="str">
        <f t="shared" si="41"/>
        <v/>
      </c>
      <c r="C148" s="157">
        <f>IF(D93="","-",+C147+1)</f>
        <v>2059</v>
      </c>
      <c r="D148" s="158">
        <f>IF(F147+SUM(E$101:E147)=D$92,F147,D$92-SUM(E$101:E147))</f>
        <v>0</v>
      </c>
      <c r="E148" s="165">
        <f t="shared" si="33"/>
        <v>0</v>
      </c>
      <c r="F148" s="163">
        <f t="shared" si="42"/>
        <v>0</v>
      </c>
      <c r="G148" s="163">
        <f t="shared" si="37"/>
        <v>0</v>
      </c>
      <c r="H148" s="167">
        <f t="shared" si="38"/>
        <v>0</v>
      </c>
      <c r="I148" s="317">
        <f t="shared" si="39"/>
        <v>0</v>
      </c>
      <c r="J148" s="162">
        <f t="shared" si="40"/>
        <v>0</v>
      </c>
      <c r="K148" s="162"/>
      <c r="L148" s="335"/>
      <c r="M148" s="162">
        <f t="shared" si="34"/>
        <v>0</v>
      </c>
      <c r="N148" s="335"/>
      <c r="O148" s="162">
        <f t="shared" si="35"/>
        <v>0</v>
      </c>
      <c r="P148" s="162">
        <f t="shared" si="36"/>
        <v>0</v>
      </c>
    </row>
    <row r="149" spans="2:16">
      <c r="B149" s="9" t="str">
        <f t="shared" si="41"/>
        <v/>
      </c>
      <c r="C149" s="157">
        <f>IF(D93="","-",+C148+1)</f>
        <v>2060</v>
      </c>
      <c r="D149" s="158">
        <f>IF(F148+SUM(E$101:E148)=D$92,F148,D$92-SUM(E$101:E148))</f>
        <v>0</v>
      </c>
      <c r="E149" s="165">
        <f t="shared" si="33"/>
        <v>0</v>
      </c>
      <c r="F149" s="163">
        <f t="shared" si="42"/>
        <v>0</v>
      </c>
      <c r="G149" s="163">
        <f t="shared" si="37"/>
        <v>0</v>
      </c>
      <c r="H149" s="167">
        <f t="shared" si="38"/>
        <v>0</v>
      </c>
      <c r="I149" s="317">
        <f t="shared" si="39"/>
        <v>0</v>
      </c>
      <c r="J149" s="162">
        <f t="shared" si="40"/>
        <v>0</v>
      </c>
      <c r="K149" s="162"/>
      <c r="L149" s="335"/>
      <c r="M149" s="162">
        <f t="shared" si="34"/>
        <v>0</v>
      </c>
      <c r="N149" s="335"/>
      <c r="O149" s="162">
        <f t="shared" si="35"/>
        <v>0</v>
      </c>
      <c r="P149" s="162">
        <f t="shared" si="36"/>
        <v>0</v>
      </c>
    </row>
    <row r="150" spans="2:16">
      <c r="B150" s="9" t="str">
        <f t="shared" si="41"/>
        <v/>
      </c>
      <c r="C150" s="157">
        <f>IF(D93="","-",+C149+1)</f>
        <v>2061</v>
      </c>
      <c r="D150" s="158">
        <f>IF(F149+SUM(E$101:E149)=D$92,F149,D$92-SUM(E$101:E149))</f>
        <v>0</v>
      </c>
      <c r="E150" s="165">
        <f t="shared" si="33"/>
        <v>0</v>
      </c>
      <c r="F150" s="163">
        <f t="shared" si="42"/>
        <v>0</v>
      </c>
      <c r="G150" s="163">
        <f t="shared" si="37"/>
        <v>0</v>
      </c>
      <c r="H150" s="167">
        <f t="shared" si="38"/>
        <v>0</v>
      </c>
      <c r="I150" s="317">
        <f t="shared" si="39"/>
        <v>0</v>
      </c>
      <c r="J150" s="162">
        <f t="shared" si="40"/>
        <v>0</v>
      </c>
      <c r="K150" s="162"/>
      <c r="L150" s="335"/>
      <c r="M150" s="162">
        <f t="shared" si="34"/>
        <v>0</v>
      </c>
      <c r="N150" s="335"/>
      <c r="O150" s="162">
        <f t="shared" si="35"/>
        <v>0</v>
      </c>
      <c r="P150" s="162">
        <f t="shared" si="36"/>
        <v>0</v>
      </c>
    </row>
    <row r="151" spans="2:16">
      <c r="B151" s="9" t="str">
        <f t="shared" si="41"/>
        <v/>
      </c>
      <c r="C151" s="157">
        <f>IF(D93="","-",+C150+1)</f>
        <v>2062</v>
      </c>
      <c r="D151" s="158">
        <f>IF(F150+SUM(E$101:E150)=D$92,F150,D$92-SUM(E$101:E150))</f>
        <v>0</v>
      </c>
      <c r="E151" s="165">
        <f t="shared" si="33"/>
        <v>0</v>
      </c>
      <c r="F151" s="163">
        <f t="shared" si="42"/>
        <v>0</v>
      </c>
      <c r="G151" s="163">
        <f t="shared" si="37"/>
        <v>0</v>
      </c>
      <c r="H151" s="167">
        <f t="shared" si="38"/>
        <v>0</v>
      </c>
      <c r="I151" s="317">
        <f t="shared" si="39"/>
        <v>0</v>
      </c>
      <c r="J151" s="162">
        <f t="shared" si="40"/>
        <v>0</v>
      </c>
      <c r="K151" s="162"/>
      <c r="L151" s="335"/>
      <c r="M151" s="162">
        <f t="shared" si="34"/>
        <v>0</v>
      </c>
      <c r="N151" s="335"/>
      <c r="O151" s="162">
        <f t="shared" si="35"/>
        <v>0</v>
      </c>
      <c r="P151" s="162">
        <f t="shared" si="36"/>
        <v>0</v>
      </c>
    </row>
    <row r="152" spans="2:16">
      <c r="B152" s="9" t="str">
        <f t="shared" si="41"/>
        <v/>
      </c>
      <c r="C152" s="157">
        <f>IF(D93="","-",+C151+1)</f>
        <v>2063</v>
      </c>
      <c r="D152" s="158">
        <f>IF(F151+SUM(E$101:E151)=D$92,F151,D$92-SUM(E$101:E151))</f>
        <v>0</v>
      </c>
      <c r="E152" s="165">
        <f t="shared" si="33"/>
        <v>0</v>
      </c>
      <c r="F152" s="163">
        <f t="shared" si="42"/>
        <v>0</v>
      </c>
      <c r="G152" s="163">
        <f t="shared" si="37"/>
        <v>0</v>
      </c>
      <c r="H152" s="167">
        <f t="shared" si="38"/>
        <v>0</v>
      </c>
      <c r="I152" s="317">
        <f t="shared" si="39"/>
        <v>0</v>
      </c>
      <c r="J152" s="162">
        <f t="shared" si="40"/>
        <v>0</v>
      </c>
      <c r="K152" s="162"/>
      <c r="L152" s="335"/>
      <c r="M152" s="162">
        <f t="shared" si="34"/>
        <v>0</v>
      </c>
      <c r="N152" s="335"/>
      <c r="O152" s="162">
        <f t="shared" si="35"/>
        <v>0</v>
      </c>
      <c r="P152" s="162">
        <f t="shared" si="36"/>
        <v>0</v>
      </c>
    </row>
    <row r="153" spans="2:16">
      <c r="B153" s="9" t="str">
        <f t="shared" si="41"/>
        <v/>
      </c>
      <c r="C153" s="157">
        <f>IF(D93="","-",+C152+1)</f>
        <v>2064</v>
      </c>
      <c r="D153" s="158">
        <f>IF(F152+SUM(E$101:E152)=D$92,F152,D$92-SUM(E$101:E152))</f>
        <v>0</v>
      </c>
      <c r="E153" s="165">
        <f t="shared" si="33"/>
        <v>0</v>
      </c>
      <c r="F153" s="163">
        <f t="shared" si="42"/>
        <v>0</v>
      </c>
      <c r="G153" s="163">
        <f t="shared" si="37"/>
        <v>0</v>
      </c>
      <c r="H153" s="167">
        <f t="shared" si="38"/>
        <v>0</v>
      </c>
      <c r="I153" s="317">
        <f t="shared" si="39"/>
        <v>0</v>
      </c>
      <c r="J153" s="162">
        <f t="shared" si="40"/>
        <v>0</v>
      </c>
      <c r="K153" s="162"/>
      <c r="L153" s="335"/>
      <c r="M153" s="162">
        <f t="shared" si="34"/>
        <v>0</v>
      </c>
      <c r="N153" s="335"/>
      <c r="O153" s="162">
        <f t="shared" si="35"/>
        <v>0</v>
      </c>
      <c r="P153" s="162">
        <f t="shared" si="36"/>
        <v>0</v>
      </c>
    </row>
    <row r="154" spans="2:16" ht="13.5" thickBot="1">
      <c r="B154" s="9" t="str">
        <f t="shared" si="41"/>
        <v/>
      </c>
      <c r="C154" s="168">
        <f>IF(D93="","-",+C153+1)</f>
        <v>2065</v>
      </c>
      <c r="D154" s="219">
        <f>IF(F153+SUM(E$101:E153)=D$92,F153,D$92-SUM(E$101:E153))</f>
        <v>0</v>
      </c>
      <c r="E154" s="377">
        <f t="shared" si="33"/>
        <v>0</v>
      </c>
      <c r="F154" s="169">
        <f t="shared" si="42"/>
        <v>0</v>
      </c>
      <c r="G154" s="169">
        <f t="shared" si="37"/>
        <v>0</v>
      </c>
      <c r="H154" s="171">
        <f t="shared" si="38"/>
        <v>0</v>
      </c>
      <c r="I154" s="318">
        <f t="shared" si="39"/>
        <v>0</v>
      </c>
      <c r="J154" s="173">
        <f t="shared" si="40"/>
        <v>0</v>
      </c>
      <c r="K154" s="162"/>
      <c r="L154" s="336"/>
      <c r="M154" s="173">
        <f t="shared" si="34"/>
        <v>0</v>
      </c>
      <c r="N154" s="336"/>
      <c r="O154" s="173">
        <f t="shared" si="35"/>
        <v>0</v>
      </c>
      <c r="P154" s="173">
        <f t="shared" si="36"/>
        <v>0</v>
      </c>
    </row>
    <row r="155" spans="2:16">
      <c r="C155" s="158" t="s">
        <v>72</v>
      </c>
      <c r="D155" s="115"/>
      <c r="E155" s="115">
        <f>SUM(E101:E154)</f>
        <v>22097</v>
      </c>
      <c r="F155" s="115"/>
      <c r="G155" s="115"/>
      <c r="H155" s="115">
        <f>SUM(H101:H154)</f>
        <v>90377.85391671196</v>
      </c>
      <c r="I155" s="115">
        <f>SUM(I101:I154)</f>
        <v>90377.85391671196</v>
      </c>
      <c r="J155" s="115">
        <f>SUM(J101:J154)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33" priority="3" stopIfTrue="1" operator="equal">
      <formula>$I$10</formula>
    </cfRule>
  </conditionalFormatting>
  <conditionalFormatting sqref="C102:C152">
    <cfRule type="cellIs" dxfId="32" priority="4" stopIfTrue="1" operator="equal">
      <formula>$J$92</formula>
    </cfRule>
  </conditionalFormatting>
  <conditionalFormatting sqref="C153:C154">
    <cfRule type="cellIs" dxfId="31" priority="2" stopIfTrue="1" operator="equal">
      <formula>$J$92</formula>
    </cfRule>
  </conditionalFormatting>
  <conditionalFormatting sqref="C100:C101">
    <cfRule type="cellIs" dxfId="30" priority="1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zoomScale="75" zoomScaleNormal="100" zoomScaleSheetLayoutView="75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14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117695.9465116283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117695.9465116283</v>
      </c>
      <c r="O6" s="1"/>
      <c r="P6" s="1"/>
    </row>
    <row r="7" spans="1:16" ht="13.5" thickBot="1">
      <c r="C7" s="127" t="s">
        <v>41</v>
      </c>
      <c r="D7" s="227" t="s">
        <v>232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231</v>
      </c>
      <c r="E9" s="428" t="s">
        <v>314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1035552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2013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25888.799999999999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1" t="s">
        <v>100</v>
      </c>
      <c r="O16" s="156" t="s">
        <v>100</v>
      </c>
      <c r="P16" s="4"/>
    </row>
    <row r="17" spans="2:16">
      <c r="B17" s="9"/>
      <c r="C17" s="157">
        <f>IF(D11= "","-",D11)</f>
        <v>2013</v>
      </c>
      <c r="D17" s="427">
        <v>5562500</v>
      </c>
      <c r="E17" s="446">
        <v>89142.628205128203</v>
      </c>
      <c r="F17" s="427">
        <v>5473357.371794872</v>
      </c>
      <c r="G17" s="446">
        <v>870775.06277038739</v>
      </c>
      <c r="H17" s="425">
        <v>870775.06277038739</v>
      </c>
      <c r="I17" s="160">
        <v>0</v>
      </c>
      <c r="J17" s="175"/>
      <c r="K17" s="337">
        <f t="shared" ref="K17:K22" si="0">G17</f>
        <v>870775.06277038739</v>
      </c>
      <c r="L17" s="440">
        <f t="shared" ref="L17:L22" si="1">IF(K17&lt;&gt;0,+G17-K17,0)</f>
        <v>0</v>
      </c>
      <c r="M17" s="337">
        <f t="shared" ref="M17:M22" si="2">H17</f>
        <v>870775.06277038739</v>
      </c>
      <c r="N17" s="161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2014</v>
      </c>
      <c r="D18" s="438">
        <v>5473357</v>
      </c>
      <c r="E18" s="437">
        <v>19910</v>
      </c>
      <c r="F18" s="438">
        <v>5453447</v>
      </c>
      <c r="G18" s="437">
        <v>770625</v>
      </c>
      <c r="H18" s="439">
        <v>770625</v>
      </c>
      <c r="I18" s="160">
        <f>H18-G18</f>
        <v>0</v>
      </c>
      <c r="J18" s="175"/>
      <c r="K18" s="338">
        <f t="shared" si="0"/>
        <v>770625</v>
      </c>
      <c r="L18" s="440">
        <f t="shared" si="1"/>
        <v>0</v>
      </c>
      <c r="M18" s="338">
        <f t="shared" si="2"/>
        <v>770625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/>
      </c>
      <c r="C19" s="157">
        <f>IF(D11="","-",+C18+1)</f>
        <v>2015</v>
      </c>
      <c r="D19" s="438">
        <v>5453447</v>
      </c>
      <c r="E19" s="437">
        <f t="shared" ref="E19:E71" si="5">IF(+$I$14&lt;F18,$I$14,D19)</f>
        <v>25888.799999999999</v>
      </c>
      <c r="F19" s="438">
        <v>5433533</v>
      </c>
      <c r="G19" s="437">
        <v>769045</v>
      </c>
      <c r="H19" s="439">
        <v>769045</v>
      </c>
      <c r="I19" s="160">
        <f t="shared" ref="I19:I71" si="6">H19-G19</f>
        <v>0</v>
      </c>
      <c r="J19" s="175"/>
      <c r="K19" s="338">
        <f t="shared" si="0"/>
        <v>769045</v>
      </c>
      <c r="L19" s="440">
        <f t="shared" si="1"/>
        <v>0</v>
      </c>
      <c r="M19" s="338">
        <f t="shared" si="2"/>
        <v>769045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7">IF(D20=F19,"","IU")</f>
        <v>IU</v>
      </c>
      <c r="C20" s="157">
        <f>IF(D11="","-",+C19+1)</f>
        <v>2016</v>
      </c>
      <c r="D20" s="438">
        <v>906584.91025641025</v>
      </c>
      <c r="E20" s="437">
        <v>19914.461538461539</v>
      </c>
      <c r="F20" s="438">
        <v>886670.44871794875</v>
      </c>
      <c r="G20" s="437">
        <v>136209.46153846153</v>
      </c>
      <c r="H20" s="439">
        <v>136209.46153846153</v>
      </c>
      <c r="I20" s="160">
        <f t="shared" si="6"/>
        <v>0</v>
      </c>
      <c r="J20" s="175"/>
      <c r="K20" s="338">
        <f t="shared" si="0"/>
        <v>136209.46153846153</v>
      </c>
      <c r="L20" s="440">
        <f t="shared" si="1"/>
        <v>0</v>
      </c>
      <c r="M20" s="338">
        <f t="shared" si="2"/>
        <v>136209.46153846153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7"/>
        <v>IU</v>
      </c>
      <c r="C21" s="157">
        <f>IF(D11="","-",+C20+1)</f>
        <v>2017</v>
      </c>
      <c r="D21" s="438">
        <v>884072.91025641025</v>
      </c>
      <c r="E21" s="437">
        <v>22512</v>
      </c>
      <c r="F21" s="438">
        <v>861560.91025641025</v>
      </c>
      <c r="G21" s="437">
        <v>132155</v>
      </c>
      <c r="H21" s="439">
        <v>132155</v>
      </c>
      <c r="I21" s="160">
        <v>0</v>
      </c>
      <c r="J21" s="175"/>
      <c r="K21" s="338">
        <f t="shared" si="0"/>
        <v>132155</v>
      </c>
      <c r="L21" s="440">
        <f t="shared" si="1"/>
        <v>0</v>
      </c>
      <c r="M21" s="338">
        <f t="shared" si="2"/>
        <v>132155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7"/>
        <v>IU</v>
      </c>
      <c r="C22" s="157">
        <f>IF(D11="","-",+C21+1)</f>
        <v>2018</v>
      </c>
      <c r="D22" s="438">
        <v>861060.64358974365</v>
      </c>
      <c r="E22" s="437">
        <v>23012.266666666666</v>
      </c>
      <c r="F22" s="438">
        <v>838048.37692307692</v>
      </c>
      <c r="G22" s="437">
        <v>124754.01488848326</v>
      </c>
      <c r="H22" s="439">
        <v>124754.01488848326</v>
      </c>
      <c r="I22" s="160">
        <f t="shared" si="6"/>
        <v>0</v>
      </c>
      <c r="J22" s="175"/>
      <c r="K22" s="338">
        <f t="shared" si="0"/>
        <v>124754.01488848326</v>
      </c>
      <c r="L22" s="440">
        <f t="shared" si="1"/>
        <v>0</v>
      </c>
      <c r="M22" s="338">
        <f t="shared" si="2"/>
        <v>124754.01488848326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7"/>
        <v>IU</v>
      </c>
      <c r="C23" s="157">
        <f>IF(D11="","-",+C22+1)</f>
        <v>2019</v>
      </c>
      <c r="D23" s="163">
        <f>IF(F22+SUM(E$17:E22)=D$10,F22,D$10-SUM(E$17:E22))</f>
        <v>835171.8435897436</v>
      </c>
      <c r="E23" s="164">
        <f t="shared" si="5"/>
        <v>25888.799999999999</v>
      </c>
      <c r="F23" s="163">
        <f t="shared" ref="F23:F71" si="8">+D23-E23</f>
        <v>809283.04358974355</v>
      </c>
      <c r="G23" s="165">
        <f t="shared" ref="G23:G71" si="9">(D23+F23)/2*I$12+E23</f>
        <v>117695.9465116283</v>
      </c>
      <c r="H23" s="147">
        <f t="shared" ref="H23:H71" si="10">+(D23+F23)/2*I$13+E23</f>
        <v>117695.9465116283</v>
      </c>
      <c r="I23" s="160">
        <f t="shared" si="6"/>
        <v>0</v>
      </c>
      <c r="J23" s="160"/>
      <c r="K23" s="335"/>
      <c r="L23" s="162">
        <f t="shared" ref="L23:L72" si="11">IF(K23&lt;&gt;0,+G23-K23,0)</f>
        <v>0</v>
      </c>
      <c r="M23" s="335"/>
      <c r="N23" s="162">
        <f t="shared" ref="N23:N72" si="12">IF(M23&lt;&gt;0,+H23-M23,0)</f>
        <v>0</v>
      </c>
      <c r="O23" s="162">
        <f t="shared" ref="O23:O72" si="13">+N23-L23</f>
        <v>0</v>
      </c>
      <c r="P23" s="4"/>
    </row>
    <row r="24" spans="2:16">
      <c r="B24" s="9" t="str">
        <f t="shared" si="7"/>
        <v/>
      </c>
      <c r="C24" s="157">
        <f>IF(D11="","-",+C23+1)</f>
        <v>2020</v>
      </c>
      <c r="D24" s="163">
        <f>IF(F23+SUM(E$17:E23)=D$10,F23,D$10-SUM(E$17:E23))</f>
        <v>809283.04358974355</v>
      </c>
      <c r="E24" s="164">
        <f t="shared" si="5"/>
        <v>25888.799999999999</v>
      </c>
      <c r="F24" s="163">
        <f t="shared" si="8"/>
        <v>783394.24358974351</v>
      </c>
      <c r="G24" s="165">
        <f t="shared" si="9"/>
        <v>114805.29031529224</v>
      </c>
      <c r="H24" s="147">
        <f t="shared" si="10"/>
        <v>114805.29031529224</v>
      </c>
      <c r="I24" s="160">
        <f t="shared" si="6"/>
        <v>0</v>
      </c>
      <c r="J24" s="160"/>
      <c r="K24" s="335"/>
      <c r="L24" s="162">
        <f t="shared" si="11"/>
        <v>0</v>
      </c>
      <c r="M24" s="335"/>
      <c r="N24" s="162">
        <f t="shared" si="12"/>
        <v>0</v>
      </c>
      <c r="O24" s="162">
        <f t="shared" si="13"/>
        <v>0</v>
      </c>
      <c r="P24" s="4"/>
    </row>
    <row r="25" spans="2:16">
      <c r="B25" s="9" t="str">
        <f t="shared" si="7"/>
        <v/>
      </c>
      <c r="C25" s="157">
        <f>IF(D11="","-",+C24+1)</f>
        <v>2021</v>
      </c>
      <c r="D25" s="163">
        <f>IF(F24+SUM(E$17:E24)=D$10,F24,D$10-SUM(E$17:E24))</f>
        <v>783394.24358974351</v>
      </c>
      <c r="E25" s="164">
        <f t="shared" si="5"/>
        <v>25888.799999999999</v>
      </c>
      <c r="F25" s="163">
        <f t="shared" si="8"/>
        <v>757505.44358974346</v>
      </c>
      <c r="G25" s="165">
        <f t="shared" si="9"/>
        <v>111914.63411895618</v>
      </c>
      <c r="H25" s="147">
        <f t="shared" si="10"/>
        <v>111914.63411895618</v>
      </c>
      <c r="I25" s="160">
        <f t="shared" si="6"/>
        <v>0</v>
      </c>
      <c r="J25" s="160"/>
      <c r="K25" s="335"/>
      <c r="L25" s="162">
        <f t="shared" si="11"/>
        <v>0</v>
      </c>
      <c r="M25" s="335"/>
      <c r="N25" s="162">
        <f t="shared" si="12"/>
        <v>0</v>
      </c>
      <c r="O25" s="162">
        <f t="shared" si="13"/>
        <v>0</v>
      </c>
      <c r="P25" s="4"/>
    </row>
    <row r="26" spans="2:16">
      <c r="B26" s="9" t="str">
        <f t="shared" si="7"/>
        <v/>
      </c>
      <c r="C26" s="157">
        <f>IF(D11="","-",+C25+1)</f>
        <v>2022</v>
      </c>
      <c r="D26" s="163">
        <f>IF(F25+SUM(E$17:E25)=D$10,F25,D$10-SUM(E$17:E25))</f>
        <v>757505.44358974346</v>
      </c>
      <c r="E26" s="164">
        <f t="shared" si="5"/>
        <v>25888.799999999999</v>
      </c>
      <c r="F26" s="163">
        <f t="shared" si="8"/>
        <v>731616.64358974341</v>
      </c>
      <c r="G26" s="165">
        <f t="shared" si="9"/>
        <v>109023.97792262014</v>
      </c>
      <c r="H26" s="147">
        <f t="shared" si="10"/>
        <v>109023.97792262014</v>
      </c>
      <c r="I26" s="160">
        <f t="shared" si="6"/>
        <v>0</v>
      </c>
      <c r="J26" s="160"/>
      <c r="K26" s="335"/>
      <c r="L26" s="162">
        <f t="shared" si="11"/>
        <v>0</v>
      </c>
      <c r="M26" s="335"/>
      <c r="N26" s="162">
        <f t="shared" si="12"/>
        <v>0</v>
      </c>
      <c r="O26" s="162">
        <f t="shared" si="13"/>
        <v>0</v>
      </c>
      <c r="P26" s="4"/>
    </row>
    <row r="27" spans="2:16">
      <c r="B27" s="9" t="str">
        <f t="shared" si="7"/>
        <v/>
      </c>
      <c r="C27" s="157">
        <f>IF(D11="","-",+C26+1)</f>
        <v>2023</v>
      </c>
      <c r="D27" s="163">
        <f>IF(F26+SUM(E$17:E26)=D$10,F26,D$10-SUM(E$17:E26))</f>
        <v>731616.64358974341</v>
      </c>
      <c r="E27" s="164">
        <f t="shared" si="5"/>
        <v>25888.799999999999</v>
      </c>
      <c r="F27" s="163">
        <f t="shared" si="8"/>
        <v>705727.84358974337</v>
      </c>
      <c r="G27" s="165">
        <f t="shared" si="9"/>
        <v>106133.32172628408</v>
      </c>
      <c r="H27" s="147">
        <f t="shared" si="10"/>
        <v>106133.32172628408</v>
      </c>
      <c r="I27" s="160">
        <f t="shared" si="6"/>
        <v>0</v>
      </c>
      <c r="J27" s="160"/>
      <c r="K27" s="335"/>
      <c r="L27" s="162">
        <f t="shared" si="11"/>
        <v>0</v>
      </c>
      <c r="M27" s="335"/>
      <c r="N27" s="162">
        <f t="shared" si="12"/>
        <v>0</v>
      </c>
      <c r="O27" s="162">
        <f t="shared" si="13"/>
        <v>0</v>
      </c>
      <c r="P27" s="4"/>
    </row>
    <row r="28" spans="2:16">
      <c r="B28" s="9" t="str">
        <f t="shared" si="7"/>
        <v/>
      </c>
      <c r="C28" s="157">
        <f>IF(D11="","-",+C27+1)</f>
        <v>2024</v>
      </c>
      <c r="D28" s="163">
        <f>IF(F27+SUM(E$17:E27)=D$10,F27,D$10-SUM(E$17:E27))</f>
        <v>705727.84358974337</v>
      </c>
      <c r="E28" s="164">
        <f t="shared" si="5"/>
        <v>25888.799999999999</v>
      </c>
      <c r="F28" s="163">
        <f t="shared" si="8"/>
        <v>679839.04358974332</v>
      </c>
      <c r="G28" s="165">
        <f t="shared" si="9"/>
        <v>103242.66552994802</v>
      </c>
      <c r="H28" s="147">
        <f t="shared" si="10"/>
        <v>103242.66552994802</v>
      </c>
      <c r="I28" s="160">
        <f t="shared" si="6"/>
        <v>0</v>
      </c>
      <c r="J28" s="160"/>
      <c r="K28" s="335"/>
      <c r="L28" s="162">
        <f t="shared" si="11"/>
        <v>0</v>
      </c>
      <c r="M28" s="335"/>
      <c r="N28" s="162">
        <f t="shared" si="12"/>
        <v>0</v>
      </c>
      <c r="O28" s="162">
        <f t="shared" si="13"/>
        <v>0</v>
      </c>
      <c r="P28" s="4"/>
    </row>
    <row r="29" spans="2:16">
      <c r="B29" s="9" t="str">
        <f t="shared" si="7"/>
        <v/>
      </c>
      <c r="C29" s="157">
        <f>IF(D11="","-",+C28+1)</f>
        <v>2025</v>
      </c>
      <c r="D29" s="163">
        <f>IF(F28+SUM(E$17:E28)=D$10,F28,D$10-SUM(E$17:E28))</f>
        <v>679839.04358974332</v>
      </c>
      <c r="E29" s="164">
        <f t="shared" si="5"/>
        <v>25888.799999999999</v>
      </c>
      <c r="F29" s="163">
        <f t="shared" si="8"/>
        <v>653950.24358974327</v>
      </c>
      <c r="G29" s="165">
        <f t="shared" si="9"/>
        <v>100352.00933361196</v>
      </c>
      <c r="H29" s="147">
        <f t="shared" si="10"/>
        <v>100352.00933361196</v>
      </c>
      <c r="I29" s="160">
        <f t="shared" si="6"/>
        <v>0</v>
      </c>
      <c r="J29" s="160"/>
      <c r="K29" s="335"/>
      <c r="L29" s="162">
        <f t="shared" si="11"/>
        <v>0</v>
      </c>
      <c r="M29" s="335"/>
      <c r="N29" s="162">
        <f t="shared" si="12"/>
        <v>0</v>
      </c>
      <c r="O29" s="162">
        <f t="shared" si="13"/>
        <v>0</v>
      </c>
      <c r="P29" s="4"/>
    </row>
    <row r="30" spans="2:16">
      <c r="B30" s="9" t="str">
        <f t="shared" si="7"/>
        <v/>
      </c>
      <c r="C30" s="157">
        <f>IF(D11="","-",+C29+1)</f>
        <v>2026</v>
      </c>
      <c r="D30" s="163">
        <f>IF(F29+SUM(E$17:E29)=D$10,F29,D$10-SUM(E$17:E29))</f>
        <v>653950.24358974327</v>
      </c>
      <c r="E30" s="164">
        <f t="shared" si="5"/>
        <v>25888.799999999999</v>
      </c>
      <c r="F30" s="163">
        <f t="shared" si="8"/>
        <v>628061.44358974323</v>
      </c>
      <c r="G30" s="165">
        <f t="shared" si="9"/>
        <v>97461.353137275903</v>
      </c>
      <c r="H30" s="147">
        <f t="shared" si="10"/>
        <v>97461.353137275903</v>
      </c>
      <c r="I30" s="160">
        <f t="shared" si="6"/>
        <v>0</v>
      </c>
      <c r="J30" s="160"/>
      <c r="K30" s="335"/>
      <c r="L30" s="162">
        <f t="shared" si="11"/>
        <v>0</v>
      </c>
      <c r="M30" s="335"/>
      <c r="N30" s="162">
        <f t="shared" si="12"/>
        <v>0</v>
      </c>
      <c r="O30" s="162">
        <f t="shared" si="13"/>
        <v>0</v>
      </c>
      <c r="P30" s="4"/>
    </row>
    <row r="31" spans="2:16">
      <c r="B31" s="9" t="str">
        <f t="shared" si="7"/>
        <v/>
      </c>
      <c r="C31" s="157">
        <f>IF(D11="","-",+C30+1)</f>
        <v>2027</v>
      </c>
      <c r="D31" s="163">
        <f>IF(F30+SUM(E$17:E30)=D$10,F30,D$10-SUM(E$17:E30))</f>
        <v>628061.44358974323</v>
      </c>
      <c r="E31" s="164">
        <f t="shared" si="5"/>
        <v>25888.799999999999</v>
      </c>
      <c r="F31" s="163">
        <f t="shared" si="8"/>
        <v>602172.64358974318</v>
      </c>
      <c r="G31" s="165">
        <f t="shared" si="9"/>
        <v>94570.696940939844</v>
      </c>
      <c r="H31" s="147">
        <f t="shared" si="10"/>
        <v>94570.696940939844</v>
      </c>
      <c r="I31" s="160">
        <f t="shared" si="6"/>
        <v>0</v>
      </c>
      <c r="J31" s="160"/>
      <c r="K31" s="335"/>
      <c r="L31" s="162">
        <f t="shared" si="11"/>
        <v>0</v>
      </c>
      <c r="M31" s="335"/>
      <c r="N31" s="162">
        <f t="shared" si="12"/>
        <v>0</v>
      </c>
      <c r="O31" s="162">
        <f t="shared" si="13"/>
        <v>0</v>
      </c>
      <c r="P31" s="4"/>
    </row>
    <row r="32" spans="2:16">
      <c r="B32" s="9" t="str">
        <f t="shared" si="7"/>
        <v/>
      </c>
      <c r="C32" s="157">
        <f>IF(D11="","-",+C31+1)</f>
        <v>2028</v>
      </c>
      <c r="D32" s="163">
        <f>IF(F31+SUM(E$17:E31)=D$10,F31,D$10-SUM(E$17:E31))</f>
        <v>602172.64358974318</v>
      </c>
      <c r="E32" s="164">
        <f t="shared" si="5"/>
        <v>25888.799999999999</v>
      </c>
      <c r="F32" s="163">
        <f t="shared" si="8"/>
        <v>576283.84358974313</v>
      </c>
      <c r="G32" s="165">
        <f t="shared" si="9"/>
        <v>91680.040744603801</v>
      </c>
      <c r="H32" s="147">
        <f t="shared" si="10"/>
        <v>91680.040744603801</v>
      </c>
      <c r="I32" s="160">
        <f t="shared" si="6"/>
        <v>0</v>
      </c>
      <c r="J32" s="160"/>
      <c r="K32" s="335"/>
      <c r="L32" s="162">
        <f t="shared" si="11"/>
        <v>0</v>
      </c>
      <c r="M32" s="335"/>
      <c r="N32" s="162">
        <f t="shared" si="12"/>
        <v>0</v>
      </c>
      <c r="O32" s="162">
        <f t="shared" si="13"/>
        <v>0</v>
      </c>
      <c r="P32" s="4"/>
    </row>
    <row r="33" spans="2:16">
      <c r="B33" s="9" t="str">
        <f t="shared" si="7"/>
        <v/>
      </c>
      <c r="C33" s="157">
        <f>IF(D11="","-",+C32+1)</f>
        <v>2029</v>
      </c>
      <c r="D33" s="163">
        <f>IF(F32+SUM(E$17:E32)=D$10,F32,D$10-SUM(E$17:E32))</f>
        <v>576283.84358974313</v>
      </c>
      <c r="E33" s="164">
        <f t="shared" si="5"/>
        <v>25888.799999999999</v>
      </c>
      <c r="F33" s="163">
        <f t="shared" si="8"/>
        <v>550395.04358974309</v>
      </c>
      <c r="G33" s="165">
        <f t="shared" si="9"/>
        <v>88789.384548267743</v>
      </c>
      <c r="H33" s="147">
        <f t="shared" si="10"/>
        <v>88789.384548267743</v>
      </c>
      <c r="I33" s="160">
        <f t="shared" si="6"/>
        <v>0</v>
      </c>
      <c r="J33" s="160"/>
      <c r="K33" s="335"/>
      <c r="L33" s="162">
        <f t="shared" si="11"/>
        <v>0</v>
      </c>
      <c r="M33" s="335"/>
      <c r="N33" s="162">
        <f t="shared" si="12"/>
        <v>0</v>
      </c>
      <c r="O33" s="162">
        <f t="shared" si="13"/>
        <v>0</v>
      </c>
      <c r="P33" s="4"/>
    </row>
    <row r="34" spans="2:16">
      <c r="B34" s="9" t="str">
        <f t="shared" si="7"/>
        <v/>
      </c>
      <c r="C34" s="157">
        <f>IF(D11="","-",+C33+1)</f>
        <v>2030</v>
      </c>
      <c r="D34" s="163">
        <f>IF(F33+SUM(E$17:E33)=D$10,F33,D$10-SUM(E$17:E33))</f>
        <v>550395.04358974309</v>
      </c>
      <c r="E34" s="164">
        <f t="shared" si="5"/>
        <v>25888.799999999999</v>
      </c>
      <c r="F34" s="163">
        <f t="shared" si="8"/>
        <v>524506.24358974304</v>
      </c>
      <c r="G34" s="165">
        <f t="shared" si="9"/>
        <v>85898.728351931684</v>
      </c>
      <c r="H34" s="147">
        <f t="shared" si="10"/>
        <v>85898.728351931684</v>
      </c>
      <c r="I34" s="160">
        <f t="shared" si="6"/>
        <v>0</v>
      </c>
      <c r="J34" s="160"/>
      <c r="K34" s="335"/>
      <c r="L34" s="162">
        <f t="shared" si="11"/>
        <v>0</v>
      </c>
      <c r="M34" s="335"/>
      <c r="N34" s="162">
        <f t="shared" si="12"/>
        <v>0</v>
      </c>
      <c r="O34" s="162">
        <f t="shared" si="13"/>
        <v>0</v>
      </c>
      <c r="P34" s="4"/>
    </row>
    <row r="35" spans="2:16">
      <c r="B35" s="9" t="str">
        <f t="shared" si="7"/>
        <v/>
      </c>
      <c r="C35" s="157">
        <f>IF(D11="","-",+C34+1)</f>
        <v>2031</v>
      </c>
      <c r="D35" s="163">
        <f>IF(F34+SUM(E$17:E34)=D$10,F34,D$10-SUM(E$17:E34))</f>
        <v>524506.24358974304</v>
      </c>
      <c r="E35" s="164">
        <f t="shared" si="5"/>
        <v>25888.799999999999</v>
      </c>
      <c r="F35" s="163">
        <f t="shared" si="8"/>
        <v>498617.44358974305</v>
      </c>
      <c r="G35" s="165">
        <f t="shared" si="9"/>
        <v>83008.072155595626</v>
      </c>
      <c r="H35" s="147">
        <f t="shared" si="10"/>
        <v>83008.072155595626</v>
      </c>
      <c r="I35" s="160">
        <f t="shared" si="6"/>
        <v>0</v>
      </c>
      <c r="J35" s="160"/>
      <c r="K35" s="335"/>
      <c r="L35" s="162">
        <f t="shared" si="11"/>
        <v>0</v>
      </c>
      <c r="M35" s="335"/>
      <c r="N35" s="162">
        <f t="shared" si="12"/>
        <v>0</v>
      </c>
      <c r="O35" s="162">
        <f t="shared" si="13"/>
        <v>0</v>
      </c>
      <c r="P35" s="4"/>
    </row>
    <row r="36" spans="2:16">
      <c r="B36" s="9" t="str">
        <f t="shared" si="7"/>
        <v/>
      </c>
      <c r="C36" s="157">
        <f>IF(D11="","-",+C35+1)</f>
        <v>2032</v>
      </c>
      <c r="D36" s="163">
        <f>IF(F35+SUM(E$17:E35)=D$10,F35,D$10-SUM(E$17:E35))</f>
        <v>498617.44358974305</v>
      </c>
      <c r="E36" s="164">
        <f t="shared" si="5"/>
        <v>25888.799999999999</v>
      </c>
      <c r="F36" s="163">
        <f t="shared" si="8"/>
        <v>472728.64358974306</v>
      </c>
      <c r="G36" s="165">
        <f t="shared" si="9"/>
        <v>80117.415959259582</v>
      </c>
      <c r="H36" s="147">
        <f t="shared" si="10"/>
        <v>80117.415959259582</v>
      </c>
      <c r="I36" s="160">
        <f t="shared" si="6"/>
        <v>0</v>
      </c>
      <c r="J36" s="160"/>
      <c r="K36" s="335"/>
      <c r="L36" s="162">
        <f t="shared" si="11"/>
        <v>0</v>
      </c>
      <c r="M36" s="335"/>
      <c r="N36" s="162">
        <f t="shared" si="12"/>
        <v>0</v>
      </c>
      <c r="O36" s="162">
        <f t="shared" si="13"/>
        <v>0</v>
      </c>
      <c r="P36" s="4"/>
    </row>
    <row r="37" spans="2:16">
      <c r="B37" s="9" t="str">
        <f t="shared" si="7"/>
        <v/>
      </c>
      <c r="C37" s="157">
        <f>IF(D11="","-",+C36+1)</f>
        <v>2033</v>
      </c>
      <c r="D37" s="163">
        <f>IF(F36+SUM(E$17:E36)=D$10,F36,D$10-SUM(E$17:E36))</f>
        <v>472728.64358974306</v>
      </c>
      <c r="E37" s="164">
        <f t="shared" si="5"/>
        <v>25888.799999999999</v>
      </c>
      <c r="F37" s="163">
        <f t="shared" si="8"/>
        <v>446839.84358974308</v>
      </c>
      <c r="G37" s="165">
        <f t="shared" si="9"/>
        <v>77226.759762923524</v>
      </c>
      <c r="H37" s="147">
        <f t="shared" si="10"/>
        <v>77226.759762923524</v>
      </c>
      <c r="I37" s="160">
        <f t="shared" si="6"/>
        <v>0</v>
      </c>
      <c r="J37" s="160"/>
      <c r="K37" s="335"/>
      <c r="L37" s="162">
        <f t="shared" si="11"/>
        <v>0</v>
      </c>
      <c r="M37" s="335"/>
      <c r="N37" s="162">
        <f t="shared" si="12"/>
        <v>0</v>
      </c>
      <c r="O37" s="162">
        <f t="shared" si="13"/>
        <v>0</v>
      </c>
      <c r="P37" s="4"/>
    </row>
    <row r="38" spans="2:16">
      <c r="B38" s="9" t="str">
        <f t="shared" si="7"/>
        <v/>
      </c>
      <c r="C38" s="157">
        <f>IF(D11="","-",+C37+1)</f>
        <v>2034</v>
      </c>
      <c r="D38" s="163">
        <f>IF(F37+SUM(E$17:E37)=D$10,F37,D$10-SUM(E$17:E37))</f>
        <v>446839.84358974308</v>
      </c>
      <c r="E38" s="164">
        <f t="shared" si="5"/>
        <v>25888.799999999999</v>
      </c>
      <c r="F38" s="163">
        <f t="shared" si="8"/>
        <v>420951.04358974309</v>
      </c>
      <c r="G38" s="165">
        <f t="shared" si="9"/>
        <v>74336.103566587481</v>
      </c>
      <c r="H38" s="147">
        <f t="shared" si="10"/>
        <v>74336.103566587481</v>
      </c>
      <c r="I38" s="160">
        <f t="shared" si="6"/>
        <v>0</v>
      </c>
      <c r="J38" s="160"/>
      <c r="K38" s="335"/>
      <c r="L38" s="162">
        <f t="shared" si="11"/>
        <v>0</v>
      </c>
      <c r="M38" s="335"/>
      <c r="N38" s="162">
        <f t="shared" si="12"/>
        <v>0</v>
      </c>
      <c r="O38" s="162">
        <f t="shared" si="13"/>
        <v>0</v>
      </c>
      <c r="P38" s="4"/>
    </row>
    <row r="39" spans="2:16">
      <c r="B39" s="9" t="str">
        <f t="shared" si="7"/>
        <v/>
      </c>
      <c r="C39" s="157">
        <f>IF(D11="","-",+C38+1)</f>
        <v>2035</v>
      </c>
      <c r="D39" s="163">
        <f>IF(F38+SUM(E$17:E38)=D$10,F38,D$10-SUM(E$17:E38))</f>
        <v>420951.04358974309</v>
      </c>
      <c r="E39" s="164">
        <f t="shared" si="5"/>
        <v>25888.799999999999</v>
      </c>
      <c r="F39" s="163">
        <f t="shared" si="8"/>
        <v>395062.2435897431</v>
      </c>
      <c r="G39" s="165">
        <f t="shared" si="9"/>
        <v>71445.447370251422</v>
      </c>
      <c r="H39" s="147">
        <f t="shared" si="10"/>
        <v>71445.447370251422</v>
      </c>
      <c r="I39" s="160">
        <f t="shared" si="6"/>
        <v>0</v>
      </c>
      <c r="J39" s="160"/>
      <c r="K39" s="335"/>
      <c r="L39" s="162">
        <f t="shared" si="11"/>
        <v>0</v>
      </c>
      <c r="M39" s="335"/>
      <c r="N39" s="162">
        <f t="shared" si="12"/>
        <v>0</v>
      </c>
      <c r="O39" s="162">
        <f t="shared" si="13"/>
        <v>0</v>
      </c>
      <c r="P39" s="4"/>
    </row>
    <row r="40" spans="2:16">
      <c r="B40" s="9" t="str">
        <f t="shared" si="7"/>
        <v/>
      </c>
      <c r="C40" s="157">
        <f>IF(D11="","-",+C39+1)</f>
        <v>2036</v>
      </c>
      <c r="D40" s="163">
        <f>IF(F39+SUM(E$17:E39)=D$10,F39,D$10-SUM(E$17:E39))</f>
        <v>395062.2435897431</v>
      </c>
      <c r="E40" s="164">
        <f t="shared" si="5"/>
        <v>25888.799999999999</v>
      </c>
      <c r="F40" s="163">
        <f t="shared" si="8"/>
        <v>369173.44358974311</v>
      </c>
      <c r="G40" s="165">
        <f t="shared" si="9"/>
        <v>68554.791173915393</v>
      </c>
      <c r="H40" s="147">
        <f t="shared" si="10"/>
        <v>68554.791173915393</v>
      </c>
      <c r="I40" s="160">
        <f t="shared" si="6"/>
        <v>0</v>
      </c>
      <c r="J40" s="160"/>
      <c r="K40" s="335"/>
      <c r="L40" s="162">
        <f t="shared" si="11"/>
        <v>0</v>
      </c>
      <c r="M40" s="335"/>
      <c r="N40" s="162">
        <f t="shared" si="12"/>
        <v>0</v>
      </c>
      <c r="O40" s="162">
        <f t="shared" si="13"/>
        <v>0</v>
      </c>
      <c r="P40" s="4"/>
    </row>
    <row r="41" spans="2:16">
      <c r="B41" s="9" t="str">
        <f t="shared" si="7"/>
        <v/>
      </c>
      <c r="C41" s="157">
        <f>IF(D11="","-",+C40+1)</f>
        <v>2037</v>
      </c>
      <c r="D41" s="163">
        <f>IF(F40+SUM(E$17:E40)=D$10,F40,D$10-SUM(E$17:E40))</f>
        <v>369173.44358974311</v>
      </c>
      <c r="E41" s="164">
        <f t="shared" si="5"/>
        <v>25888.799999999999</v>
      </c>
      <c r="F41" s="163">
        <f t="shared" si="8"/>
        <v>343284.64358974312</v>
      </c>
      <c r="G41" s="165">
        <f t="shared" si="9"/>
        <v>65664.134977579335</v>
      </c>
      <c r="H41" s="147">
        <f t="shared" si="10"/>
        <v>65664.134977579335</v>
      </c>
      <c r="I41" s="160">
        <f t="shared" si="6"/>
        <v>0</v>
      </c>
      <c r="J41" s="160"/>
      <c r="K41" s="335"/>
      <c r="L41" s="162">
        <f t="shared" si="11"/>
        <v>0</v>
      </c>
      <c r="M41" s="335"/>
      <c r="N41" s="162">
        <f t="shared" si="12"/>
        <v>0</v>
      </c>
      <c r="O41" s="162">
        <f t="shared" si="13"/>
        <v>0</v>
      </c>
      <c r="P41" s="4"/>
    </row>
    <row r="42" spans="2:16">
      <c r="B42" s="9" t="str">
        <f t="shared" si="7"/>
        <v/>
      </c>
      <c r="C42" s="157">
        <f>IF(D11="","-",+C41+1)</f>
        <v>2038</v>
      </c>
      <c r="D42" s="163">
        <f>IF(F41+SUM(E$17:E41)=D$10,F41,D$10-SUM(E$17:E41))</f>
        <v>343284.64358974312</v>
      </c>
      <c r="E42" s="164">
        <f t="shared" si="5"/>
        <v>25888.799999999999</v>
      </c>
      <c r="F42" s="163">
        <f t="shared" si="8"/>
        <v>317395.84358974313</v>
      </c>
      <c r="G42" s="165">
        <f t="shared" si="9"/>
        <v>62773.478781243291</v>
      </c>
      <c r="H42" s="147">
        <f t="shared" si="10"/>
        <v>62773.478781243291</v>
      </c>
      <c r="I42" s="160">
        <f t="shared" si="6"/>
        <v>0</v>
      </c>
      <c r="J42" s="160"/>
      <c r="K42" s="335"/>
      <c r="L42" s="162">
        <f t="shared" si="11"/>
        <v>0</v>
      </c>
      <c r="M42" s="335"/>
      <c r="N42" s="162">
        <f t="shared" si="12"/>
        <v>0</v>
      </c>
      <c r="O42" s="162">
        <f t="shared" si="13"/>
        <v>0</v>
      </c>
      <c r="P42" s="4"/>
    </row>
    <row r="43" spans="2:16">
      <c r="B43" s="9" t="str">
        <f t="shared" si="7"/>
        <v/>
      </c>
      <c r="C43" s="157">
        <f>IF(D11="","-",+C42+1)</f>
        <v>2039</v>
      </c>
      <c r="D43" s="163">
        <f>IF(F42+SUM(E$17:E42)=D$10,F42,D$10-SUM(E$17:E42))</f>
        <v>317395.84358974313</v>
      </c>
      <c r="E43" s="164">
        <f t="shared" si="5"/>
        <v>25888.799999999999</v>
      </c>
      <c r="F43" s="163">
        <f t="shared" si="8"/>
        <v>291507.04358974315</v>
      </c>
      <c r="G43" s="165">
        <f t="shared" si="9"/>
        <v>59882.822584907233</v>
      </c>
      <c r="H43" s="147">
        <f t="shared" si="10"/>
        <v>59882.822584907233</v>
      </c>
      <c r="I43" s="160">
        <f t="shared" si="6"/>
        <v>0</v>
      </c>
      <c r="J43" s="160"/>
      <c r="K43" s="335"/>
      <c r="L43" s="162">
        <f t="shared" si="11"/>
        <v>0</v>
      </c>
      <c r="M43" s="335"/>
      <c r="N43" s="162">
        <f t="shared" si="12"/>
        <v>0</v>
      </c>
      <c r="O43" s="162">
        <f t="shared" si="13"/>
        <v>0</v>
      </c>
      <c r="P43" s="4"/>
    </row>
    <row r="44" spans="2:16">
      <c r="B44" s="9" t="str">
        <f t="shared" si="7"/>
        <v/>
      </c>
      <c r="C44" s="157">
        <f>IF(D11="","-",+C43+1)</f>
        <v>2040</v>
      </c>
      <c r="D44" s="163">
        <f>IF(F43+SUM(E$17:E43)=D$10,F43,D$10-SUM(E$17:E43))</f>
        <v>291507.04358974315</v>
      </c>
      <c r="E44" s="164">
        <f t="shared" si="5"/>
        <v>25888.799999999999</v>
      </c>
      <c r="F44" s="163">
        <f t="shared" si="8"/>
        <v>265618.24358974316</v>
      </c>
      <c r="G44" s="165">
        <f t="shared" si="9"/>
        <v>56992.16638857119</v>
      </c>
      <c r="H44" s="147">
        <f t="shared" si="10"/>
        <v>56992.16638857119</v>
      </c>
      <c r="I44" s="160">
        <f t="shared" si="6"/>
        <v>0</v>
      </c>
      <c r="J44" s="160"/>
      <c r="K44" s="335"/>
      <c r="L44" s="162">
        <f t="shared" si="11"/>
        <v>0</v>
      </c>
      <c r="M44" s="335"/>
      <c r="N44" s="162">
        <f t="shared" si="12"/>
        <v>0</v>
      </c>
      <c r="O44" s="162">
        <f t="shared" si="13"/>
        <v>0</v>
      </c>
      <c r="P44" s="4"/>
    </row>
    <row r="45" spans="2:16">
      <c r="B45" s="9" t="str">
        <f t="shared" si="7"/>
        <v/>
      </c>
      <c r="C45" s="157">
        <f>IF(D11="","-",+C44+1)</f>
        <v>2041</v>
      </c>
      <c r="D45" s="163">
        <f>IF(F44+SUM(E$17:E44)=D$10,F44,D$10-SUM(E$17:E44))</f>
        <v>265618.24358974316</v>
      </c>
      <c r="E45" s="164">
        <f t="shared" si="5"/>
        <v>25888.799999999999</v>
      </c>
      <c r="F45" s="163">
        <f t="shared" si="8"/>
        <v>239729.44358974317</v>
      </c>
      <c r="G45" s="165">
        <f t="shared" si="9"/>
        <v>54101.510192235139</v>
      </c>
      <c r="H45" s="147">
        <f t="shared" si="10"/>
        <v>54101.510192235139</v>
      </c>
      <c r="I45" s="160">
        <f t="shared" si="6"/>
        <v>0</v>
      </c>
      <c r="J45" s="160"/>
      <c r="K45" s="335"/>
      <c r="L45" s="162">
        <f t="shared" si="11"/>
        <v>0</v>
      </c>
      <c r="M45" s="335"/>
      <c r="N45" s="162">
        <f t="shared" si="12"/>
        <v>0</v>
      </c>
      <c r="O45" s="162">
        <f t="shared" si="13"/>
        <v>0</v>
      </c>
      <c r="P45" s="4"/>
    </row>
    <row r="46" spans="2:16">
      <c r="B46" s="9" t="str">
        <f t="shared" si="7"/>
        <v/>
      </c>
      <c r="C46" s="157">
        <f>IF(D11="","-",+C45+1)</f>
        <v>2042</v>
      </c>
      <c r="D46" s="163">
        <f>IF(F45+SUM(E$17:E45)=D$10,F45,D$10-SUM(E$17:E45))</f>
        <v>239729.44358974317</v>
      </c>
      <c r="E46" s="164">
        <f t="shared" si="5"/>
        <v>25888.799999999999</v>
      </c>
      <c r="F46" s="163">
        <f t="shared" si="8"/>
        <v>213840.64358974318</v>
      </c>
      <c r="G46" s="165">
        <f t="shared" si="9"/>
        <v>51210.853995899088</v>
      </c>
      <c r="H46" s="147">
        <f t="shared" si="10"/>
        <v>51210.853995899088</v>
      </c>
      <c r="I46" s="160">
        <f t="shared" si="6"/>
        <v>0</v>
      </c>
      <c r="J46" s="160"/>
      <c r="K46" s="335"/>
      <c r="L46" s="162">
        <f t="shared" si="11"/>
        <v>0</v>
      </c>
      <c r="M46" s="335"/>
      <c r="N46" s="162">
        <f t="shared" si="12"/>
        <v>0</v>
      </c>
      <c r="O46" s="162">
        <f t="shared" si="13"/>
        <v>0</v>
      </c>
      <c r="P46" s="4"/>
    </row>
    <row r="47" spans="2:16">
      <c r="B47" s="9" t="str">
        <f t="shared" si="7"/>
        <v/>
      </c>
      <c r="C47" s="157">
        <f>IF(D11="","-",+C46+1)</f>
        <v>2043</v>
      </c>
      <c r="D47" s="163">
        <f>IF(F46+SUM(E$17:E46)=D$10,F46,D$10-SUM(E$17:E46))</f>
        <v>213840.64358974318</v>
      </c>
      <c r="E47" s="164">
        <f t="shared" si="5"/>
        <v>25888.799999999999</v>
      </c>
      <c r="F47" s="163">
        <f t="shared" si="8"/>
        <v>187951.84358974319</v>
      </c>
      <c r="G47" s="165">
        <f t="shared" si="9"/>
        <v>48320.197799563044</v>
      </c>
      <c r="H47" s="147">
        <f t="shared" si="10"/>
        <v>48320.197799563044</v>
      </c>
      <c r="I47" s="160">
        <f t="shared" si="6"/>
        <v>0</v>
      </c>
      <c r="J47" s="160"/>
      <c r="K47" s="335"/>
      <c r="L47" s="162">
        <f t="shared" si="11"/>
        <v>0</v>
      </c>
      <c r="M47" s="335"/>
      <c r="N47" s="162">
        <f t="shared" si="12"/>
        <v>0</v>
      </c>
      <c r="O47" s="162">
        <f t="shared" si="13"/>
        <v>0</v>
      </c>
      <c r="P47" s="4"/>
    </row>
    <row r="48" spans="2:16">
      <c r="B48" s="9" t="str">
        <f t="shared" si="7"/>
        <v/>
      </c>
      <c r="C48" s="157">
        <f>IF(D11="","-",+C47+1)</f>
        <v>2044</v>
      </c>
      <c r="D48" s="163">
        <f>IF(F47+SUM(E$17:E47)=D$10,F47,D$10-SUM(E$17:E47))</f>
        <v>187951.84358974319</v>
      </c>
      <c r="E48" s="164">
        <f t="shared" si="5"/>
        <v>25888.799999999999</v>
      </c>
      <c r="F48" s="163">
        <f t="shared" si="8"/>
        <v>162063.0435897432</v>
      </c>
      <c r="G48" s="165">
        <f t="shared" si="9"/>
        <v>45429.541603226993</v>
      </c>
      <c r="H48" s="147">
        <f t="shared" si="10"/>
        <v>45429.541603226993</v>
      </c>
      <c r="I48" s="160">
        <f t="shared" si="6"/>
        <v>0</v>
      </c>
      <c r="J48" s="160"/>
      <c r="K48" s="335"/>
      <c r="L48" s="162">
        <f t="shared" si="11"/>
        <v>0</v>
      </c>
      <c r="M48" s="335"/>
      <c r="N48" s="162">
        <f t="shared" si="12"/>
        <v>0</v>
      </c>
      <c r="O48" s="162">
        <f t="shared" si="13"/>
        <v>0</v>
      </c>
      <c r="P48" s="4"/>
    </row>
    <row r="49" spans="2:16">
      <c r="B49" s="9" t="str">
        <f t="shared" si="7"/>
        <v/>
      </c>
      <c r="C49" s="157">
        <f>IF(D11="","-",+C48+1)</f>
        <v>2045</v>
      </c>
      <c r="D49" s="163">
        <f>IF(F48+SUM(E$17:E48)=D$10,F48,D$10-SUM(E$17:E48))</f>
        <v>162063.0435897432</v>
      </c>
      <c r="E49" s="164">
        <f t="shared" si="5"/>
        <v>25888.799999999999</v>
      </c>
      <c r="F49" s="163">
        <f t="shared" si="8"/>
        <v>136174.24358974322</v>
      </c>
      <c r="G49" s="165">
        <f t="shared" si="9"/>
        <v>42538.885406890942</v>
      </c>
      <c r="H49" s="147">
        <f t="shared" si="10"/>
        <v>42538.885406890942</v>
      </c>
      <c r="I49" s="160">
        <f t="shared" si="6"/>
        <v>0</v>
      </c>
      <c r="J49" s="160"/>
      <c r="K49" s="335"/>
      <c r="L49" s="162">
        <f t="shared" si="11"/>
        <v>0</v>
      </c>
      <c r="M49" s="335"/>
      <c r="N49" s="162">
        <f t="shared" si="12"/>
        <v>0</v>
      </c>
      <c r="O49" s="162">
        <f t="shared" si="13"/>
        <v>0</v>
      </c>
      <c r="P49" s="4"/>
    </row>
    <row r="50" spans="2:16">
      <c r="B50" s="9" t="str">
        <f t="shared" si="7"/>
        <v/>
      </c>
      <c r="C50" s="157">
        <f>IF(D11="","-",+C49+1)</f>
        <v>2046</v>
      </c>
      <c r="D50" s="163">
        <f>IF(F49+SUM(E$17:E49)=D$10,F49,D$10-SUM(E$17:E49))</f>
        <v>136174.24358974322</v>
      </c>
      <c r="E50" s="164">
        <f t="shared" si="5"/>
        <v>25888.799999999999</v>
      </c>
      <c r="F50" s="163">
        <f t="shared" si="8"/>
        <v>110285.44358974321</v>
      </c>
      <c r="G50" s="165">
        <f t="shared" si="9"/>
        <v>39648.229210554891</v>
      </c>
      <c r="H50" s="147">
        <f t="shared" si="10"/>
        <v>39648.229210554891</v>
      </c>
      <c r="I50" s="160">
        <f t="shared" si="6"/>
        <v>0</v>
      </c>
      <c r="J50" s="160"/>
      <c r="K50" s="335"/>
      <c r="L50" s="162">
        <f t="shared" si="11"/>
        <v>0</v>
      </c>
      <c r="M50" s="335"/>
      <c r="N50" s="162">
        <f t="shared" si="12"/>
        <v>0</v>
      </c>
      <c r="O50" s="162">
        <f t="shared" si="13"/>
        <v>0</v>
      </c>
      <c r="P50" s="4"/>
    </row>
    <row r="51" spans="2:16">
      <c r="B51" s="9" t="str">
        <f t="shared" si="7"/>
        <v/>
      </c>
      <c r="C51" s="157">
        <f>IF(D11="","-",+C50+1)</f>
        <v>2047</v>
      </c>
      <c r="D51" s="163">
        <f>IF(F50+SUM(E$17:E50)=D$10,F50,D$10-SUM(E$17:E50))</f>
        <v>110285.44358974321</v>
      </c>
      <c r="E51" s="164">
        <f t="shared" si="5"/>
        <v>25888.799999999999</v>
      </c>
      <c r="F51" s="163">
        <f t="shared" si="8"/>
        <v>84396.643589743209</v>
      </c>
      <c r="G51" s="165">
        <f t="shared" si="9"/>
        <v>36757.57301421884</v>
      </c>
      <c r="H51" s="147">
        <f t="shared" si="10"/>
        <v>36757.57301421884</v>
      </c>
      <c r="I51" s="160">
        <f t="shared" si="6"/>
        <v>0</v>
      </c>
      <c r="J51" s="160"/>
      <c r="K51" s="335"/>
      <c r="L51" s="162">
        <f t="shared" si="11"/>
        <v>0</v>
      </c>
      <c r="M51" s="335"/>
      <c r="N51" s="162">
        <f t="shared" si="12"/>
        <v>0</v>
      </c>
      <c r="O51" s="162">
        <f t="shared" si="13"/>
        <v>0</v>
      </c>
      <c r="P51" s="4"/>
    </row>
    <row r="52" spans="2:16">
      <c r="B52" s="9" t="str">
        <f t="shared" si="7"/>
        <v/>
      </c>
      <c r="C52" s="157">
        <f>IF(D11="","-",+C51+1)</f>
        <v>2048</v>
      </c>
      <c r="D52" s="163">
        <f>IF(F51+SUM(E$17:E51)=D$10,F51,D$10-SUM(E$17:E51))</f>
        <v>84396.643589743209</v>
      </c>
      <c r="E52" s="164">
        <f t="shared" si="5"/>
        <v>25888.799999999999</v>
      </c>
      <c r="F52" s="163">
        <f t="shared" si="8"/>
        <v>58507.843589743206</v>
      </c>
      <c r="G52" s="165">
        <f t="shared" si="9"/>
        <v>33866.916817882789</v>
      </c>
      <c r="H52" s="147">
        <f t="shared" si="10"/>
        <v>33866.916817882789</v>
      </c>
      <c r="I52" s="160">
        <f t="shared" si="6"/>
        <v>0</v>
      </c>
      <c r="J52" s="160"/>
      <c r="K52" s="335"/>
      <c r="L52" s="162">
        <f t="shared" si="11"/>
        <v>0</v>
      </c>
      <c r="M52" s="335"/>
      <c r="N52" s="162">
        <f t="shared" si="12"/>
        <v>0</v>
      </c>
      <c r="O52" s="162">
        <f t="shared" si="13"/>
        <v>0</v>
      </c>
      <c r="P52" s="4"/>
    </row>
    <row r="53" spans="2:16">
      <c r="B53" s="9" t="str">
        <f t="shared" si="7"/>
        <v/>
      </c>
      <c r="C53" s="157">
        <f>IF(D11="","-",+C52+1)</f>
        <v>2049</v>
      </c>
      <c r="D53" s="163">
        <f>IF(F52+SUM(E$17:E52)=D$10,F52,D$10-SUM(E$17:E52))</f>
        <v>58507.843589743206</v>
      </c>
      <c r="E53" s="164">
        <f t="shared" si="5"/>
        <v>25888.799999999999</v>
      </c>
      <c r="F53" s="163">
        <f t="shared" si="8"/>
        <v>32619.043589743207</v>
      </c>
      <c r="G53" s="165">
        <f t="shared" si="9"/>
        <v>30976.260621546742</v>
      </c>
      <c r="H53" s="147">
        <f t="shared" si="10"/>
        <v>30976.260621546742</v>
      </c>
      <c r="I53" s="160">
        <f t="shared" si="6"/>
        <v>0</v>
      </c>
      <c r="J53" s="160"/>
      <c r="K53" s="335"/>
      <c r="L53" s="162">
        <f t="shared" si="11"/>
        <v>0</v>
      </c>
      <c r="M53" s="335"/>
      <c r="N53" s="162">
        <f t="shared" si="12"/>
        <v>0</v>
      </c>
      <c r="O53" s="162">
        <f t="shared" si="13"/>
        <v>0</v>
      </c>
      <c r="P53" s="4"/>
    </row>
    <row r="54" spans="2:16">
      <c r="B54" s="9" t="str">
        <f t="shared" si="7"/>
        <v/>
      </c>
      <c r="C54" s="157">
        <f>IF(D11="","-",+C53+1)</f>
        <v>2050</v>
      </c>
      <c r="D54" s="163">
        <f>IF(F53+SUM(E$17:E53)=D$10,F53,D$10-SUM(E$17:E53))</f>
        <v>32619.043589743207</v>
      </c>
      <c r="E54" s="164">
        <f t="shared" si="5"/>
        <v>25888.799999999999</v>
      </c>
      <c r="F54" s="163">
        <f t="shared" si="8"/>
        <v>6730.2435897432078</v>
      </c>
      <c r="G54" s="165">
        <f t="shared" si="9"/>
        <v>28085.604425210691</v>
      </c>
      <c r="H54" s="147">
        <f t="shared" si="10"/>
        <v>28085.604425210691</v>
      </c>
      <c r="I54" s="160">
        <f t="shared" si="6"/>
        <v>0</v>
      </c>
      <c r="J54" s="160"/>
      <c r="K54" s="335"/>
      <c r="L54" s="162">
        <f t="shared" si="11"/>
        <v>0</v>
      </c>
      <c r="M54" s="335"/>
      <c r="N54" s="162">
        <f t="shared" si="12"/>
        <v>0</v>
      </c>
      <c r="O54" s="162">
        <f t="shared" si="13"/>
        <v>0</v>
      </c>
      <c r="P54" s="4"/>
    </row>
    <row r="55" spans="2:16">
      <c r="B55" s="9" t="str">
        <f t="shared" si="7"/>
        <v/>
      </c>
      <c r="C55" s="157">
        <f>IF(D11="","-",+C54+1)</f>
        <v>2051</v>
      </c>
      <c r="D55" s="163">
        <f>IF(F54+SUM(E$17:E54)=D$10,F54,D$10-SUM(E$17:E54))</f>
        <v>6730.2435897432078</v>
      </c>
      <c r="E55" s="164">
        <f t="shared" si="5"/>
        <v>6730.2435897432078</v>
      </c>
      <c r="F55" s="163">
        <f t="shared" si="8"/>
        <v>0</v>
      </c>
      <c r="G55" s="165">
        <f t="shared" si="9"/>
        <v>7105.9817532645411</v>
      </c>
      <c r="H55" s="147">
        <f t="shared" si="10"/>
        <v>7105.9817532645411</v>
      </c>
      <c r="I55" s="160">
        <f t="shared" si="6"/>
        <v>0</v>
      </c>
      <c r="J55" s="160"/>
      <c r="K55" s="335"/>
      <c r="L55" s="162">
        <f t="shared" si="11"/>
        <v>0</v>
      </c>
      <c r="M55" s="335"/>
      <c r="N55" s="162">
        <f t="shared" si="12"/>
        <v>0</v>
      </c>
      <c r="O55" s="162">
        <f t="shared" si="13"/>
        <v>0</v>
      </c>
      <c r="P55" s="4"/>
    </row>
    <row r="56" spans="2:16">
      <c r="B56" s="9" t="str">
        <f t="shared" si="7"/>
        <v/>
      </c>
      <c r="C56" s="157">
        <f>IF(D11="","-",+C55+1)</f>
        <v>2052</v>
      </c>
      <c r="D56" s="163">
        <f>IF(F55+SUM(E$17:E55)=D$10,F55,D$10-SUM(E$17:E55))</f>
        <v>0</v>
      </c>
      <c r="E56" s="164">
        <f t="shared" si="5"/>
        <v>0</v>
      </c>
      <c r="F56" s="163">
        <f t="shared" si="8"/>
        <v>0</v>
      </c>
      <c r="G56" s="165">
        <f t="shared" si="9"/>
        <v>0</v>
      </c>
      <c r="H56" s="147">
        <f t="shared" si="10"/>
        <v>0</v>
      </c>
      <c r="I56" s="160">
        <f t="shared" si="6"/>
        <v>0</v>
      </c>
      <c r="J56" s="160"/>
      <c r="K56" s="335"/>
      <c r="L56" s="162">
        <f t="shared" si="11"/>
        <v>0</v>
      </c>
      <c r="M56" s="335"/>
      <c r="N56" s="162">
        <f t="shared" si="12"/>
        <v>0</v>
      </c>
      <c r="O56" s="162">
        <f t="shared" si="13"/>
        <v>0</v>
      </c>
      <c r="P56" s="4"/>
    </row>
    <row r="57" spans="2:16">
      <c r="B57" s="9" t="str">
        <f t="shared" si="7"/>
        <v/>
      </c>
      <c r="C57" s="157">
        <f>IF(D11="","-",+C56+1)</f>
        <v>2053</v>
      </c>
      <c r="D57" s="163">
        <f>IF(F56+SUM(E$17:E56)=D$10,F56,D$10-SUM(E$17:E56))</f>
        <v>0</v>
      </c>
      <c r="E57" s="164">
        <f t="shared" si="5"/>
        <v>0</v>
      </c>
      <c r="F57" s="163">
        <f t="shared" si="8"/>
        <v>0</v>
      </c>
      <c r="G57" s="165">
        <f t="shared" si="9"/>
        <v>0</v>
      </c>
      <c r="H57" s="147">
        <f t="shared" si="10"/>
        <v>0</v>
      </c>
      <c r="I57" s="160">
        <f t="shared" si="6"/>
        <v>0</v>
      </c>
      <c r="J57" s="160"/>
      <c r="K57" s="335"/>
      <c r="L57" s="162">
        <f t="shared" si="11"/>
        <v>0</v>
      </c>
      <c r="M57" s="335"/>
      <c r="N57" s="162">
        <f t="shared" si="12"/>
        <v>0</v>
      </c>
      <c r="O57" s="162">
        <f t="shared" si="13"/>
        <v>0</v>
      </c>
      <c r="P57" s="4"/>
    </row>
    <row r="58" spans="2:16">
      <c r="B58" s="9" t="str">
        <f t="shared" si="7"/>
        <v/>
      </c>
      <c r="C58" s="157">
        <f>IF(D11="","-",+C57+1)</f>
        <v>2054</v>
      </c>
      <c r="D58" s="163">
        <f>IF(F57+SUM(E$17:E57)=D$10,F57,D$10-SUM(E$17:E57))</f>
        <v>0</v>
      </c>
      <c r="E58" s="164">
        <f t="shared" si="5"/>
        <v>0</v>
      </c>
      <c r="F58" s="163">
        <f t="shared" si="8"/>
        <v>0</v>
      </c>
      <c r="G58" s="165">
        <f t="shared" si="9"/>
        <v>0</v>
      </c>
      <c r="H58" s="147">
        <f t="shared" si="10"/>
        <v>0</v>
      </c>
      <c r="I58" s="160">
        <f t="shared" si="6"/>
        <v>0</v>
      </c>
      <c r="J58" s="160"/>
      <c r="K58" s="335"/>
      <c r="L58" s="162">
        <f t="shared" si="11"/>
        <v>0</v>
      </c>
      <c r="M58" s="335"/>
      <c r="N58" s="162">
        <f t="shared" si="12"/>
        <v>0</v>
      </c>
      <c r="O58" s="162">
        <f t="shared" si="13"/>
        <v>0</v>
      </c>
      <c r="P58" s="4"/>
    </row>
    <row r="59" spans="2:16">
      <c r="B59" s="9" t="str">
        <f t="shared" si="7"/>
        <v/>
      </c>
      <c r="C59" s="157">
        <f>IF(D11="","-",+C58+1)</f>
        <v>2055</v>
      </c>
      <c r="D59" s="163">
        <f>IF(F58+SUM(E$17:E58)=D$10,F58,D$10-SUM(E$17:E58))</f>
        <v>0</v>
      </c>
      <c r="E59" s="164">
        <f t="shared" si="5"/>
        <v>0</v>
      </c>
      <c r="F59" s="163">
        <f t="shared" si="8"/>
        <v>0</v>
      </c>
      <c r="G59" s="165">
        <f t="shared" si="9"/>
        <v>0</v>
      </c>
      <c r="H59" s="147">
        <f t="shared" si="10"/>
        <v>0</v>
      </c>
      <c r="I59" s="160">
        <f t="shared" si="6"/>
        <v>0</v>
      </c>
      <c r="J59" s="160"/>
      <c r="K59" s="335"/>
      <c r="L59" s="162">
        <f t="shared" si="11"/>
        <v>0</v>
      </c>
      <c r="M59" s="335"/>
      <c r="N59" s="162">
        <f t="shared" si="12"/>
        <v>0</v>
      </c>
      <c r="O59" s="162">
        <f t="shared" si="13"/>
        <v>0</v>
      </c>
      <c r="P59" s="4"/>
    </row>
    <row r="60" spans="2:16">
      <c r="B60" s="9" t="str">
        <f t="shared" si="7"/>
        <v/>
      </c>
      <c r="C60" s="157">
        <f>IF(D11="","-",+C59+1)</f>
        <v>2056</v>
      </c>
      <c r="D60" s="163">
        <f>IF(F59+SUM(E$17:E59)=D$10,F59,D$10-SUM(E$17:E59))</f>
        <v>0</v>
      </c>
      <c r="E60" s="164">
        <f t="shared" si="5"/>
        <v>0</v>
      </c>
      <c r="F60" s="163">
        <f t="shared" si="8"/>
        <v>0</v>
      </c>
      <c r="G60" s="165">
        <f t="shared" si="9"/>
        <v>0</v>
      </c>
      <c r="H60" s="147">
        <f t="shared" si="10"/>
        <v>0</v>
      </c>
      <c r="I60" s="160">
        <f t="shared" si="6"/>
        <v>0</v>
      </c>
      <c r="J60" s="160"/>
      <c r="K60" s="335"/>
      <c r="L60" s="162">
        <f t="shared" si="11"/>
        <v>0</v>
      </c>
      <c r="M60" s="335"/>
      <c r="N60" s="162">
        <f t="shared" si="12"/>
        <v>0</v>
      </c>
      <c r="O60" s="162">
        <f t="shared" si="13"/>
        <v>0</v>
      </c>
      <c r="P60" s="4"/>
    </row>
    <row r="61" spans="2:16">
      <c r="B61" s="9" t="str">
        <f t="shared" si="7"/>
        <v/>
      </c>
      <c r="C61" s="157">
        <f>IF(D11="","-",+C60+1)</f>
        <v>2057</v>
      </c>
      <c r="D61" s="163">
        <f>IF(F60+SUM(E$17:E60)=D$10,F60,D$10-SUM(E$17:E60))</f>
        <v>0</v>
      </c>
      <c r="E61" s="164">
        <f t="shared" si="5"/>
        <v>0</v>
      </c>
      <c r="F61" s="163">
        <f t="shared" si="8"/>
        <v>0</v>
      </c>
      <c r="G61" s="165">
        <f t="shared" si="9"/>
        <v>0</v>
      </c>
      <c r="H61" s="147">
        <f t="shared" si="10"/>
        <v>0</v>
      </c>
      <c r="I61" s="160">
        <f t="shared" si="6"/>
        <v>0</v>
      </c>
      <c r="J61" s="160"/>
      <c r="K61" s="335"/>
      <c r="L61" s="162">
        <f t="shared" si="11"/>
        <v>0</v>
      </c>
      <c r="M61" s="335"/>
      <c r="N61" s="162">
        <f t="shared" si="12"/>
        <v>0</v>
      </c>
      <c r="O61" s="162">
        <f t="shared" si="13"/>
        <v>0</v>
      </c>
      <c r="P61" s="4"/>
    </row>
    <row r="62" spans="2:16">
      <c r="B62" s="9" t="str">
        <f t="shared" si="7"/>
        <v/>
      </c>
      <c r="C62" s="157">
        <f>IF(D11="","-",+C61+1)</f>
        <v>2058</v>
      </c>
      <c r="D62" s="163">
        <f>IF(F61+SUM(E$17:E61)=D$10,F61,D$10-SUM(E$17:E61))</f>
        <v>0</v>
      </c>
      <c r="E62" s="164">
        <f t="shared" si="5"/>
        <v>0</v>
      </c>
      <c r="F62" s="163">
        <f t="shared" si="8"/>
        <v>0</v>
      </c>
      <c r="G62" s="165">
        <f t="shared" si="9"/>
        <v>0</v>
      </c>
      <c r="H62" s="147">
        <f t="shared" si="10"/>
        <v>0</v>
      </c>
      <c r="I62" s="160">
        <f t="shared" si="6"/>
        <v>0</v>
      </c>
      <c r="J62" s="160"/>
      <c r="K62" s="335"/>
      <c r="L62" s="162">
        <f t="shared" si="11"/>
        <v>0</v>
      </c>
      <c r="M62" s="335"/>
      <c r="N62" s="162">
        <f t="shared" si="12"/>
        <v>0</v>
      </c>
      <c r="O62" s="162">
        <f t="shared" si="13"/>
        <v>0</v>
      </c>
      <c r="P62" s="4"/>
    </row>
    <row r="63" spans="2:16">
      <c r="B63" s="9" t="str">
        <f t="shared" si="7"/>
        <v/>
      </c>
      <c r="C63" s="157">
        <f>IF(D11="","-",+C62+1)</f>
        <v>2059</v>
      </c>
      <c r="D63" s="163">
        <f>IF(F62+SUM(E$17:E62)=D$10,F62,D$10-SUM(E$17:E62))</f>
        <v>0</v>
      </c>
      <c r="E63" s="164">
        <f t="shared" si="5"/>
        <v>0</v>
      </c>
      <c r="F63" s="163">
        <f t="shared" si="8"/>
        <v>0</v>
      </c>
      <c r="G63" s="165">
        <f t="shared" si="9"/>
        <v>0</v>
      </c>
      <c r="H63" s="147">
        <f t="shared" si="10"/>
        <v>0</v>
      </c>
      <c r="I63" s="160">
        <f t="shared" si="6"/>
        <v>0</v>
      </c>
      <c r="J63" s="160"/>
      <c r="K63" s="335"/>
      <c r="L63" s="162">
        <f t="shared" si="11"/>
        <v>0</v>
      </c>
      <c r="M63" s="335"/>
      <c r="N63" s="162">
        <f t="shared" si="12"/>
        <v>0</v>
      </c>
      <c r="O63" s="162">
        <f t="shared" si="13"/>
        <v>0</v>
      </c>
      <c r="P63" s="4"/>
    </row>
    <row r="64" spans="2:16">
      <c r="B64" s="9" t="str">
        <f t="shared" si="7"/>
        <v/>
      </c>
      <c r="C64" s="157">
        <f>IF(D11="","-",+C63+1)</f>
        <v>2060</v>
      </c>
      <c r="D64" s="163">
        <f>IF(F63+SUM(E$17:E63)=D$10,F63,D$10-SUM(E$17:E63))</f>
        <v>0</v>
      </c>
      <c r="E64" s="164">
        <f t="shared" si="5"/>
        <v>0</v>
      </c>
      <c r="F64" s="163">
        <f t="shared" si="8"/>
        <v>0</v>
      </c>
      <c r="G64" s="165">
        <f t="shared" si="9"/>
        <v>0</v>
      </c>
      <c r="H64" s="147">
        <f t="shared" si="10"/>
        <v>0</v>
      </c>
      <c r="I64" s="160">
        <f t="shared" si="6"/>
        <v>0</v>
      </c>
      <c r="J64" s="160"/>
      <c r="K64" s="335"/>
      <c r="L64" s="162">
        <f t="shared" si="11"/>
        <v>0</v>
      </c>
      <c r="M64" s="335"/>
      <c r="N64" s="162">
        <f t="shared" si="12"/>
        <v>0</v>
      </c>
      <c r="O64" s="162">
        <f t="shared" si="13"/>
        <v>0</v>
      </c>
      <c r="P64" s="4"/>
    </row>
    <row r="65" spans="2:16">
      <c r="B65" s="9" t="str">
        <f t="shared" si="7"/>
        <v/>
      </c>
      <c r="C65" s="157">
        <f>IF(D11="","-",+C64+1)</f>
        <v>2061</v>
      </c>
      <c r="D65" s="163">
        <f>IF(F64+SUM(E$17:E64)=D$10,F64,D$10-SUM(E$17:E64))</f>
        <v>0</v>
      </c>
      <c r="E65" s="164">
        <f t="shared" si="5"/>
        <v>0</v>
      </c>
      <c r="F65" s="163">
        <f t="shared" si="8"/>
        <v>0</v>
      </c>
      <c r="G65" s="165">
        <f t="shared" si="9"/>
        <v>0</v>
      </c>
      <c r="H65" s="147">
        <f t="shared" si="10"/>
        <v>0</v>
      </c>
      <c r="I65" s="160">
        <f t="shared" si="6"/>
        <v>0</v>
      </c>
      <c r="J65" s="160"/>
      <c r="K65" s="335"/>
      <c r="L65" s="162">
        <f t="shared" si="11"/>
        <v>0</v>
      </c>
      <c r="M65" s="335"/>
      <c r="N65" s="162">
        <f t="shared" si="12"/>
        <v>0</v>
      </c>
      <c r="O65" s="162">
        <f t="shared" si="13"/>
        <v>0</v>
      </c>
      <c r="P65" s="4"/>
    </row>
    <row r="66" spans="2:16">
      <c r="B66" s="9" t="str">
        <f t="shared" si="7"/>
        <v/>
      </c>
      <c r="C66" s="157">
        <f>IF(D11="","-",+C65+1)</f>
        <v>2062</v>
      </c>
      <c r="D66" s="163">
        <f>IF(F65+SUM(E$17:E65)=D$10,F65,D$10-SUM(E$17:E65))</f>
        <v>0</v>
      </c>
      <c r="E66" s="164">
        <f t="shared" si="5"/>
        <v>0</v>
      </c>
      <c r="F66" s="163">
        <f t="shared" si="8"/>
        <v>0</v>
      </c>
      <c r="G66" s="165">
        <f t="shared" si="9"/>
        <v>0</v>
      </c>
      <c r="H66" s="147">
        <f t="shared" si="10"/>
        <v>0</v>
      </c>
      <c r="I66" s="160">
        <f t="shared" si="6"/>
        <v>0</v>
      </c>
      <c r="J66" s="160"/>
      <c r="K66" s="335"/>
      <c r="L66" s="162">
        <f t="shared" si="11"/>
        <v>0</v>
      </c>
      <c r="M66" s="335"/>
      <c r="N66" s="162">
        <f t="shared" si="12"/>
        <v>0</v>
      </c>
      <c r="O66" s="162">
        <f t="shared" si="13"/>
        <v>0</v>
      </c>
      <c r="P66" s="4"/>
    </row>
    <row r="67" spans="2:16">
      <c r="B67" s="9" t="str">
        <f t="shared" si="7"/>
        <v/>
      </c>
      <c r="C67" s="157">
        <f>IF(D11="","-",+C66+1)</f>
        <v>2063</v>
      </c>
      <c r="D67" s="163">
        <f>IF(F66+SUM(E$17:E66)=D$10,F66,D$10-SUM(E$17:E66))</f>
        <v>0</v>
      </c>
      <c r="E67" s="164">
        <f t="shared" si="5"/>
        <v>0</v>
      </c>
      <c r="F67" s="163">
        <f t="shared" si="8"/>
        <v>0</v>
      </c>
      <c r="G67" s="165">
        <f t="shared" si="9"/>
        <v>0</v>
      </c>
      <c r="H67" s="147">
        <f t="shared" si="10"/>
        <v>0</v>
      </c>
      <c r="I67" s="160">
        <f t="shared" si="6"/>
        <v>0</v>
      </c>
      <c r="J67" s="160"/>
      <c r="K67" s="335"/>
      <c r="L67" s="162">
        <f t="shared" si="11"/>
        <v>0</v>
      </c>
      <c r="M67" s="335"/>
      <c r="N67" s="162">
        <f t="shared" si="12"/>
        <v>0</v>
      </c>
      <c r="O67" s="162">
        <f t="shared" si="13"/>
        <v>0</v>
      </c>
      <c r="P67" s="4"/>
    </row>
    <row r="68" spans="2:16">
      <c r="B68" s="9" t="str">
        <f t="shared" si="7"/>
        <v/>
      </c>
      <c r="C68" s="157">
        <f>IF(D11="","-",+C67+1)</f>
        <v>2064</v>
      </c>
      <c r="D68" s="163">
        <f>IF(F67+SUM(E$17:E67)=D$10,F67,D$10-SUM(E$17:E67))</f>
        <v>0</v>
      </c>
      <c r="E68" s="164">
        <f t="shared" si="5"/>
        <v>0</v>
      </c>
      <c r="F68" s="163">
        <f t="shared" si="8"/>
        <v>0</v>
      </c>
      <c r="G68" s="165">
        <f t="shared" si="9"/>
        <v>0</v>
      </c>
      <c r="H68" s="147">
        <f t="shared" si="10"/>
        <v>0</v>
      </c>
      <c r="I68" s="160">
        <f t="shared" si="6"/>
        <v>0</v>
      </c>
      <c r="J68" s="160"/>
      <c r="K68" s="335"/>
      <c r="L68" s="162">
        <f t="shared" si="11"/>
        <v>0</v>
      </c>
      <c r="M68" s="335"/>
      <c r="N68" s="162">
        <f t="shared" si="12"/>
        <v>0</v>
      </c>
      <c r="O68" s="162">
        <f t="shared" si="13"/>
        <v>0</v>
      </c>
      <c r="P68" s="4"/>
    </row>
    <row r="69" spans="2:16">
      <c r="B69" s="9" t="str">
        <f t="shared" si="7"/>
        <v/>
      </c>
      <c r="C69" s="157">
        <f>IF(D11="","-",+C68+1)</f>
        <v>2065</v>
      </c>
      <c r="D69" s="163">
        <f>IF(F68+SUM(E$17:E68)=D$10,F68,D$10-SUM(E$17:E68))</f>
        <v>0</v>
      </c>
      <c r="E69" s="164">
        <f t="shared" si="5"/>
        <v>0</v>
      </c>
      <c r="F69" s="163">
        <f t="shared" si="8"/>
        <v>0</v>
      </c>
      <c r="G69" s="165">
        <f t="shared" si="9"/>
        <v>0</v>
      </c>
      <c r="H69" s="147">
        <f t="shared" si="10"/>
        <v>0</v>
      </c>
      <c r="I69" s="160">
        <f t="shared" si="6"/>
        <v>0</v>
      </c>
      <c r="J69" s="160"/>
      <c r="K69" s="335"/>
      <c r="L69" s="162">
        <f t="shared" si="11"/>
        <v>0</v>
      </c>
      <c r="M69" s="335"/>
      <c r="N69" s="162">
        <f t="shared" si="12"/>
        <v>0</v>
      </c>
      <c r="O69" s="162">
        <f t="shared" si="13"/>
        <v>0</v>
      </c>
      <c r="P69" s="4"/>
    </row>
    <row r="70" spans="2:16">
      <c r="B70" s="9" t="str">
        <f t="shared" si="7"/>
        <v/>
      </c>
      <c r="C70" s="157">
        <f>IF(D11="","-",+C69+1)</f>
        <v>2066</v>
      </c>
      <c r="D70" s="163">
        <f>IF(F69+SUM(E$17:E69)=D$10,F69,D$10-SUM(E$17:E69))</f>
        <v>0</v>
      </c>
      <c r="E70" s="164">
        <f t="shared" si="5"/>
        <v>0</v>
      </c>
      <c r="F70" s="163">
        <f t="shared" si="8"/>
        <v>0</v>
      </c>
      <c r="G70" s="165">
        <f t="shared" si="9"/>
        <v>0</v>
      </c>
      <c r="H70" s="147">
        <f t="shared" si="10"/>
        <v>0</v>
      </c>
      <c r="I70" s="160">
        <f t="shared" si="6"/>
        <v>0</v>
      </c>
      <c r="J70" s="160"/>
      <c r="K70" s="335"/>
      <c r="L70" s="162">
        <f t="shared" si="11"/>
        <v>0</v>
      </c>
      <c r="M70" s="335"/>
      <c r="N70" s="162">
        <f t="shared" si="12"/>
        <v>0</v>
      </c>
      <c r="O70" s="162">
        <f t="shared" si="13"/>
        <v>0</v>
      </c>
      <c r="P70" s="4"/>
    </row>
    <row r="71" spans="2:16">
      <c r="B71" s="9" t="str">
        <f t="shared" si="7"/>
        <v/>
      </c>
      <c r="C71" s="157">
        <f>IF(D11="","-",+C70+1)</f>
        <v>2067</v>
      </c>
      <c r="D71" s="163">
        <f>IF(F70+SUM(E$17:E70)=D$10,F70,D$10-SUM(E$17:E70))</f>
        <v>0</v>
      </c>
      <c r="E71" s="164">
        <f t="shared" si="5"/>
        <v>0</v>
      </c>
      <c r="F71" s="163">
        <f t="shared" si="8"/>
        <v>0</v>
      </c>
      <c r="G71" s="165">
        <f t="shared" si="9"/>
        <v>0</v>
      </c>
      <c r="H71" s="147">
        <f t="shared" si="10"/>
        <v>0</v>
      </c>
      <c r="I71" s="160">
        <f t="shared" si="6"/>
        <v>0</v>
      </c>
      <c r="J71" s="160"/>
      <c r="K71" s="335"/>
      <c r="L71" s="162">
        <f t="shared" si="11"/>
        <v>0</v>
      </c>
      <c r="M71" s="335"/>
      <c r="N71" s="162">
        <f t="shared" si="12"/>
        <v>0</v>
      </c>
      <c r="O71" s="162">
        <f t="shared" si="13"/>
        <v>0</v>
      </c>
      <c r="P71" s="4"/>
    </row>
    <row r="72" spans="2:16" ht="13.5" thickBot="1">
      <c r="B72" s="9" t="str">
        <f t="shared" si="7"/>
        <v/>
      </c>
      <c r="C72" s="168">
        <f>IF(D11="","-",+C71+1)</f>
        <v>2068</v>
      </c>
      <c r="D72" s="169">
        <f>IF(F71+SUM(E$17:E71)=D$10,F71,D$10-SUM(E$17:E71))</f>
        <v>0</v>
      </c>
      <c r="E72" s="170">
        <f>IF(+$I$14&lt;F71,$I$14,D72)</f>
        <v>0</v>
      </c>
      <c r="F72" s="169">
        <f>+D72-E72</f>
        <v>0</v>
      </c>
      <c r="G72" s="377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6"/>
      <c r="L72" s="173">
        <f t="shared" si="11"/>
        <v>0</v>
      </c>
      <c r="M72" s="336"/>
      <c r="N72" s="173">
        <f t="shared" si="12"/>
        <v>0</v>
      </c>
      <c r="O72" s="173">
        <f t="shared" si="13"/>
        <v>0</v>
      </c>
      <c r="P72" s="4"/>
    </row>
    <row r="73" spans="2:16">
      <c r="C73" s="158" t="s">
        <v>72</v>
      </c>
      <c r="D73" s="115"/>
      <c r="E73" s="115">
        <f>SUM(E17:E72)</f>
        <v>1035552.0000000003</v>
      </c>
      <c r="F73" s="115"/>
      <c r="G73" s="115">
        <f>SUM(G17:G72)</f>
        <v>5143174.3359400192</v>
      </c>
      <c r="H73" s="115">
        <f>SUM(H17:H72)</f>
        <v>5143174.3359400192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14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132155</v>
      </c>
      <c r="N87" s="202">
        <f>IF(J92&lt;D11,0,VLOOKUP(J92,C17:O72,11))</f>
        <v>132155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142433.42657860837</v>
      </c>
      <c r="N88" s="204">
        <f>IF(J92&lt;D11,0,VLOOKUP(J92,C99:P154,7))</f>
        <v>142433.42657860837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Ashdown West - Craig Junction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10278.426578608371</v>
      </c>
      <c r="N89" s="207">
        <f>+N88-N87</f>
        <v>10278.426578608371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TP2009092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1035552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460" t="s">
        <v>262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+D12</f>
        <v>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22512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2013</v>
      </c>
      <c r="D99" s="436">
        <v>0</v>
      </c>
      <c r="E99" s="437">
        <v>16595</v>
      </c>
      <c r="F99" s="438">
        <v>1018741</v>
      </c>
      <c r="G99" s="448">
        <v>509371</v>
      </c>
      <c r="H99" s="449">
        <v>89910</v>
      </c>
      <c r="I99" s="450">
        <v>89910</v>
      </c>
      <c r="J99" s="162">
        <v>0</v>
      </c>
      <c r="K99" s="162"/>
      <c r="L99" s="338">
        <f>H99</f>
        <v>89910</v>
      </c>
      <c r="M99" s="175">
        <f>IF(L99&lt;&gt;0,+H99-L99,0)</f>
        <v>0</v>
      </c>
      <c r="N99" s="338">
        <f>I99</f>
        <v>89910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2014</v>
      </c>
      <c r="D100" s="436">
        <v>1018957</v>
      </c>
      <c r="E100" s="437">
        <v>19914</v>
      </c>
      <c r="F100" s="438">
        <v>999043</v>
      </c>
      <c r="G100" s="438">
        <v>1009000</v>
      </c>
      <c r="H100" s="437">
        <v>161775</v>
      </c>
      <c r="I100" s="439">
        <v>161775</v>
      </c>
      <c r="J100" s="162">
        <f>+I100-H100</f>
        <v>0</v>
      </c>
      <c r="K100" s="162"/>
      <c r="L100" s="338">
        <f>H100</f>
        <v>161775</v>
      </c>
      <c r="M100" s="175">
        <f>IF(L100&lt;&gt;0,+H100-L100,0)</f>
        <v>0</v>
      </c>
      <c r="N100" s="338">
        <f>I100</f>
        <v>161775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4">IF(D101=F100,"","IU")</f>
        <v/>
      </c>
      <c r="C101" s="157">
        <f>IF(D93="","-",+C100+1)</f>
        <v>2015</v>
      </c>
      <c r="D101" s="436">
        <v>999043</v>
      </c>
      <c r="E101" s="437">
        <v>19914</v>
      </c>
      <c r="F101" s="438">
        <v>979129</v>
      </c>
      <c r="G101" s="438">
        <v>989086</v>
      </c>
      <c r="H101" s="437">
        <v>154866.83205665913</v>
      </c>
      <c r="I101" s="439">
        <v>154866.83205665913</v>
      </c>
      <c r="J101" s="162">
        <f>+I101-H101</f>
        <v>0</v>
      </c>
      <c r="K101" s="162"/>
      <c r="L101" s="338">
        <f>H101</f>
        <v>154866.83205665913</v>
      </c>
      <c r="M101" s="175">
        <f>IF(L101&lt;&gt;0,+H101-L101,0)</f>
        <v>0</v>
      </c>
      <c r="N101" s="338">
        <f>I101</f>
        <v>154866.83205665913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4"/>
        <v/>
      </c>
      <c r="C102" s="157">
        <f>IF(D93="","-",+C101+1)</f>
        <v>2016</v>
      </c>
      <c r="D102" s="436">
        <v>979129</v>
      </c>
      <c r="E102" s="437">
        <v>22512</v>
      </c>
      <c r="F102" s="438">
        <v>956617</v>
      </c>
      <c r="G102" s="438">
        <v>967873</v>
      </c>
      <c r="H102" s="437">
        <v>147286.07261026395</v>
      </c>
      <c r="I102" s="439">
        <v>147286.07261026395</v>
      </c>
      <c r="J102" s="162">
        <v>0</v>
      </c>
      <c r="K102" s="162"/>
      <c r="L102" s="338">
        <f>H102</f>
        <v>147286.07261026395</v>
      </c>
      <c r="M102" s="175">
        <f>IF(L102&lt;&gt;0,+H102-L102,0)</f>
        <v>0</v>
      </c>
      <c r="N102" s="338">
        <f>I102</f>
        <v>147286.07261026395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4"/>
        <v/>
      </c>
      <c r="C103" s="157">
        <f>IF(D93="","-",+C102+1)</f>
        <v>2017</v>
      </c>
      <c r="D103" s="158">
        <f>IF(F102+SUM(E$99:E102)=D$92,F102,D$92-SUM(E$99:E102))</f>
        <v>956617</v>
      </c>
      <c r="E103" s="164">
        <f t="shared" ref="E103:E154" si="15">IF(+J$96&lt;F102,J$96,D103)</f>
        <v>22512</v>
      </c>
      <c r="F103" s="163">
        <f t="shared" ref="F103:F154" si="16">+D103-E103</f>
        <v>934105</v>
      </c>
      <c r="G103" s="163">
        <f t="shared" ref="G103:G154" si="17">+(F103+D103)/2</f>
        <v>945361</v>
      </c>
      <c r="H103" s="167">
        <f t="shared" ref="H103:H154" si="18">+J$94*G103+E103</f>
        <v>142433.42657860837</v>
      </c>
      <c r="I103" s="317">
        <f t="shared" ref="I103:I154" si="19">+J$95*G103+E103</f>
        <v>142433.42657860837</v>
      </c>
      <c r="J103" s="162">
        <f t="shared" ref="J103:J154" si="20">+I103-H103</f>
        <v>0</v>
      </c>
      <c r="K103" s="162"/>
      <c r="L103" s="335"/>
      <c r="M103" s="162">
        <f t="shared" ref="M103:M130" si="21">IF(L103&lt;&gt;0,+H103-L103,0)</f>
        <v>0</v>
      </c>
      <c r="N103" s="335"/>
      <c r="O103" s="162">
        <f t="shared" ref="O103:O130" si="22">IF(N103&lt;&gt;0,+I103-N103,0)</f>
        <v>0</v>
      </c>
      <c r="P103" s="162">
        <f t="shared" ref="P103:P130" si="23">+O103-M103</f>
        <v>0</v>
      </c>
    </row>
    <row r="104" spans="1:16">
      <c r="B104" s="9" t="str">
        <f t="shared" si="14"/>
        <v/>
      </c>
      <c r="C104" s="157">
        <f>IF(D93="","-",+C103+1)</f>
        <v>2018</v>
      </c>
      <c r="D104" s="158">
        <f>IF(F103+SUM(E$99:E103)=D$92,F103,D$92-SUM(E$99:E103))</f>
        <v>934105</v>
      </c>
      <c r="E104" s="164">
        <f t="shared" si="15"/>
        <v>22512</v>
      </c>
      <c r="F104" s="163">
        <f t="shared" si="16"/>
        <v>911593</v>
      </c>
      <c r="G104" s="163">
        <f t="shared" si="17"/>
        <v>922849</v>
      </c>
      <c r="H104" s="167">
        <f t="shared" si="18"/>
        <v>139577.72261458021</v>
      </c>
      <c r="I104" s="317">
        <f t="shared" si="19"/>
        <v>139577.72261458021</v>
      </c>
      <c r="J104" s="162">
        <f t="shared" si="20"/>
        <v>0</v>
      </c>
      <c r="K104" s="162"/>
      <c r="L104" s="335"/>
      <c r="M104" s="162">
        <f t="shared" si="21"/>
        <v>0</v>
      </c>
      <c r="N104" s="335"/>
      <c r="O104" s="162">
        <f t="shared" si="22"/>
        <v>0</v>
      </c>
      <c r="P104" s="162">
        <f t="shared" si="23"/>
        <v>0</v>
      </c>
    </row>
    <row r="105" spans="1:16">
      <c r="B105" s="9" t="str">
        <f t="shared" si="14"/>
        <v/>
      </c>
      <c r="C105" s="157">
        <f>IF(D93="","-",+C104+1)</f>
        <v>2019</v>
      </c>
      <c r="D105" s="158">
        <f>IF(F104+SUM(E$99:E104)=D$92,F104,D$92-SUM(E$99:E104))</f>
        <v>911593</v>
      </c>
      <c r="E105" s="164">
        <f t="shared" si="15"/>
        <v>22512</v>
      </c>
      <c r="F105" s="163">
        <f t="shared" si="16"/>
        <v>889081</v>
      </c>
      <c r="G105" s="163">
        <f t="shared" si="17"/>
        <v>900337</v>
      </c>
      <c r="H105" s="167">
        <f t="shared" si="18"/>
        <v>136722.01865055203</v>
      </c>
      <c r="I105" s="317">
        <f t="shared" si="19"/>
        <v>136722.01865055203</v>
      </c>
      <c r="J105" s="162">
        <f t="shared" si="20"/>
        <v>0</v>
      </c>
      <c r="K105" s="162"/>
      <c r="L105" s="335"/>
      <c r="M105" s="162">
        <f t="shared" si="21"/>
        <v>0</v>
      </c>
      <c r="N105" s="335"/>
      <c r="O105" s="162">
        <f t="shared" si="22"/>
        <v>0</v>
      </c>
      <c r="P105" s="162">
        <f t="shared" si="23"/>
        <v>0</v>
      </c>
    </row>
    <row r="106" spans="1:16">
      <c r="B106" s="9" t="str">
        <f t="shared" si="14"/>
        <v/>
      </c>
      <c r="C106" s="157">
        <f>IF(D93="","-",+C105+1)</f>
        <v>2020</v>
      </c>
      <c r="D106" s="158">
        <f>IF(F105+SUM(E$99:E105)=D$92,F105,D$92-SUM(E$99:E105))</f>
        <v>889081</v>
      </c>
      <c r="E106" s="164">
        <f t="shared" si="15"/>
        <v>22512</v>
      </c>
      <c r="F106" s="163">
        <f t="shared" si="16"/>
        <v>866569</v>
      </c>
      <c r="G106" s="163">
        <f t="shared" si="17"/>
        <v>877825</v>
      </c>
      <c r="H106" s="167">
        <f t="shared" si="18"/>
        <v>133866.31468652387</v>
      </c>
      <c r="I106" s="317">
        <f t="shared" si="19"/>
        <v>133866.31468652387</v>
      </c>
      <c r="J106" s="162">
        <f t="shared" si="20"/>
        <v>0</v>
      </c>
      <c r="K106" s="162"/>
      <c r="L106" s="335"/>
      <c r="M106" s="162">
        <f t="shared" si="21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14"/>
        <v/>
      </c>
      <c r="C107" s="157">
        <f>IF(D93="","-",+C106+1)</f>
        <v>2021</v>
      </c>
      <c r="D107" s="158">
        <f>IF(F106+SUM(E$99:E106)=D$92,F106,D$92-SUM(E$99:E106))</f>
        <v>866569</v>
      </c>
      <c r="E107" s="164">
        <f t="shared" si="15"/>
        <v>22512</v>
      </c>
      <c r="F107" s="163">
        <f t="shared" si="16"/>
        <v>844057</v>
      </c>
      <c r="G107" s="163">
        <f t="shared" si="17"/>
        <v>855313</v>
      </c>
      <c r="H107" s="167">
        <f t="shared" si="18"/>
        <v>131010.61072249571</v>
      </c>
      <c r="I107" s="317">
        <f t="shared" si="19"/>
        <v>131010.61072249571</v>
      </c>
      <c r="J107" s="162">
        <f t="shared" si="20"/>
        <v>0</v>
      </c>
      <c r="K107" s="162"/>
      <c r="L107" s="335"/>
      <c r="M107" s="162">
        <f t="shared" si="21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14"/>
        <v/>
      </c>
      <c r="C108" s="157">
        <f>IF(D93="","-",+C107+1)</f>
        <v>2022</v>
      </c>
      <c r="D108" s="158">
        <f>IF(F107+SUM(E$99:E107)=D$92,F107,D$92-SUM(E$99:E107))</f>
        <v>844057</v>
      </c>
      <c r="E108" s="164">
        <f t="shared" si="15"/>
        <v>22512</v>
      </c>
      <c r="F108" s="163">
        <f t="shared" si="16"/>
        <v>821545</v>
      </c>
      <c r="G108" s="163">
        <f t="shared" si="17"/>
        <v>832801</v>
      </c>
      <c r="H108" s="167">
        <f t="shared" si="18"/>
        <v>128154.90675846754</v>
      </c>
      <c r="I108" s="317">
        <f t="shared" si="19"/>
        <v>128154.90675846754</v>
      </c>
      <c r="J108" s="162">
        <f t="shared" si="20"/>
        <v>0</v>
      </c>
      <c r="K108" s="162"/>
      <c r="L108" s="335"/>
      <c r="M108" s="162">
        <f t="shared" si="21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14"/>
        <v/>
      </c>
      <c r="C109" s="157">
        <f>IF(D93="","-",+C108+1)</f>
        <v>2023</v>
      </c>
      <c r="D109" s="158">
        <f>IF(F108+SUM(E$99:E108)=D$92,F108,D$92-SUM(E$99:E108))</f>
        <v>821545</v>
      </c>
      <c r="E109" s="164">
        <f t="shared" si="15"/>
        <v>22512</v>
      </c>
      <c r="F109" s="163">
        <f t="shared" si="16"/>
        <v>799033</v>
      </c>
      <c r="G109" s="163">
        <f t="shared" si="17"/>
        <v>810289</v>
      </c>
      <c r="H109" s="167">
        <f t="shared" si="18"/>
        <v>125299.20279443938</v>
      </c>
      <c r="I109" s="317">
        <f t="shared" si="19"/>
        <v>125299.20279443938</v>
      </c>
      <c r="J109" s="162">
        <f t="shared" si="20"/>
        <v>0</v>
      </c>
      <c r="K109" s="162"/>
      <c r="L109" s="335"/>
      <c r="M109" s="162">
        <f t="shared" si="21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14"/>
        <v/>
      </c>
      <c r="C110" s="157">
        <f>IF(D93="","-",+C109+1)</f>
        <v>2024</v>
      </c>
      <c r="D110" s="158">
        <f>IF(F109+SUM(E$99:E109)=D$92,F109,D$92-SUM(E$99:E109))</f>
        <v>799033</v>
      </c>
      <c r="E110" s="164">
        <f t="shared" si="15"/>
        <v>22512</v>
      </c>
      <c r="F110" s="163">
        <f t="shared" si="16"/>
        <v>776521</v>
      </c>
      <c r="G110" s="163">
        <f t="shared" si="17"/>
        <v>787777</v>
      </c>
      <c r="H110" s="167">
        <f t="shared" si="18"/>
        <v>122443.4988304112</v>
      </c>
      <c r="I110" s="317">
        <f t="shared" si="19"/>
        <v>122443.4988304112</v>
      </c>
      <c r="J110" s="162">
        <f t="shared" si="20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14"/>
        <v/>
      </c>
      <c r="C111" s="157">
        <f>IF(D93="","-",+C110+1)</f>
        <v>2025</v>
      </c>
      <c r="D111" s="158">
        <f>IF(F110+SUM(E$99:E110)=D$92,F110,D$92-SUM(E$99:E110))</f>
        <v>776521</v>
      </c>
      <c r="E111" s="164">
        <f t="shared" si="15"/>
        <v>22512</v>
      </c>
      <c r="F111" s="163">
        <f t="shared" si="16"/>
        <v>754009</v>
      </c>
      <c r="G111" s="163">
        <f t="shared" si="17"/>
        <v>765265</v>
      </c>
      <c r="H111" s="167">
        <f t="shared" si="18"/>
        <v>119587.79486638305</v>
      </c>
      <c r="I111" s="317">
        <f t="shared" si="19"/>
        <v>119587.79486638305</v>
      </c>
      <c r="J111" s="162">
        <f t="shared" si="20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14"/>
        <v/>
      </c>
      <c r="C112" s="157">
        <f>IF(D93="","-",+C111+1)</f>
        <v>2026</v>
      </c>
      <c r="D112" s="158">
        <f>IF(F111+SUM(E$99:E111)=D$92,F111,D$92-SUM(E$99:E111))</f>
        <v>754009</v>
      </c>
      <c r="E112" s="164">
        <f t="shared" si="15"/>
        <v>22512</v>
      </c>
      <c r="F112" s="163">
        <f t="shared" si="16"/>
        <v>731497</v>
      </c>
      <c r="G112" s="163">
        <f t="shared" si="17"/>
        <v>742753</v>
      </c>
      <c r="H112" s="167">
        <f t="shared" si="18"/>
        <v>116732.09090235487</v>
      </c>
      <c r="I112" s="317">
        <f t="shared" si="19"/>
        <v>116732.09090235487</v>
      </c>
      <c r="J112" s="162">
        <f t="shared" si="20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14"/>
        <v/>
      </c>
      <c r="C113" s="157">
        <f>IF(D93="","-",+C112+1)</f>
        <v>2027</v>
      </c>
      <c r="D113" s="158">
        <f>IF(F112+SUM(E$99:E112)=D$92,F112,D$92-SUM(E$99:E112))</f>
        <v>731497</v>
      </c>
      <c r="E113" s="164">
        <f t="shared" si="15"/>
        <v>22512</v>
      </c>
      <c r="F113" s="163">
        <f t="shared" si="16"/>
        <v>708985</v>
      </c>
      <c r="G113" s="163">
        <f t="shared" si="17"/>
        <v>720241</v>
      </c>
      <c r="H113" s="167">
        <f t="shared" si="18"/>
        <v>113876.3869383267</v>
      </c>
      <c r="I113" s="317">
        <f t="shared" si="19"/>
        <v>113876.3869383267</v>
      </c>
      <c r="J113" s="162">
        <f t="shared" si="20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14"/>
        <v/>
      </c>
      <c r="C114" s="157">
        <f>IF(D93="","-",+C113+1)</f>
        <v>2028</v>
      </c>
      <c r="D114" s="158">
        <f>IF(F113+SUM(E$99:E113)=D$92,F113,D$92-SUM(E$99:E113))</f>
        <v>708985</v>
      </c>
      <c r="E114" s="164">
        <f t="shared" si="15"/>
        <v>22512</v>
      </c>
      <c r="F114" s="163">
        <f t="shared" si="16"/>
        <v>686473</v>
      </c>
      <c r="G114" s="163">
        <f t="shared" si="17"/>
        <v>697729</v>
      </c>
      <c r="H114" s="167">
        <f t="shared" si="18"/>
        <v>111020.68297429854</v>
      </c>
      <c r="I114" s="317">
        <f t="shared" si="19"/>
        <v>111020.68297429854</v>
      </c>
      <c r="J114" s="162">
        <f t="shared" si="20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14"/>
        <v/>
      </c>
      <c r="C115" s="157">
        <f>IF(D93="","-",+C114+1)</f>
        <v>2029</v>
      </c>
      <c r="D115" s="158">
        <f>IF(F114+SUM(E$99:E114)=D$92,F114,D$92-SUM(E$99:E114))</f>
        <v>686473</v>
      </c>
      <c r="E115" s="164">
        <f t="shared" si="15"/>
        <v>22512</v>
      </c>
      <c r="F115" s="163">
        <f t="shared" si="16"/>
        <v>663961</v>
      </c>
      <c r="G115" s="163">
        <f t="shared" si="17"/>
        <v>675217</v>
      </c>
      <c r="H115" s="167">
        <f t="shared" si="18"/>
        <v>108164.97901027037</v>
      </c>
      <c r="I115" s="317">
        <f t="shared" si="19"/>
        <v>108164.97901027037</v>
      </c>
      <c r="J115" s="162">
        <f t="shared" si="20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14"/>
        <v/>
      </c>
      <c r="C116" s="157">
        <f>IF(D93="","-",+C115+1)</f>
        <v>2030</v>
      </c>
      <c r="D116" s="158">
        <f>IF(F115+SUM(E$99:E115)=D$92,F115,D$92-SUM(E$99:E115))</f>
        <v>663961</v>
      </c>
      <c r="E116" s="164">
        <f t="shared" si="15"/>
        <v>22512</v>
      </c>
      <c r="F116" s="163">
        <f t="shared" si="16"/>
        <v>641449</v>
      </c>
      <c r="G116" s="163">
        <f t="shared" si="17"/>
        <v>652705</v>
      </c>
      <c r="H116" s="167">
        <f t="shared" si="18"/>
        <v>105309.27504624221</v>
      </c>
      <c r="I116" s="317">
        <f t="shared" si="19"/>
        <v>105309.27504624221</v>
      </c>
      <c r="J116" s="162">
        <f t="shared" si="20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14"/>
        <v/>
      </c>
      <c r="C117" s="157">
        <f>IF(D93="","-",+C116+1)</f>
        <v>2031</v>
      </c>
      <c r="D117" s="158">
        <f>IF(F116+SUM(E$99:E116)=D$92,F116,D$92-SUM(E$99:E116))</f>
        <v>641449</v>
      </c>
      <c r="E117" s="164">
        <f t="shared" si="15"/>
        <v>22512</v>
      </c>
      <c r="F117" s="163">
        <f t="shared" si="16"/>
        <v>618937</v>
      </c>
      <c r="G117" s="163">
        <f t="shared" si="17"/>
        <v>630193</v>
      </c>
      <c r="H117" s="167">
        <f t="shared" si="18"/>
        <v>102453.57108221404</v>
      </c>
      <c r="I117" s="317">
        <f t="shared" si="19"/>
        <v>102453.57108221404</v>
      </c>
      <c r="J117" s="162">
        <f t="shared" si="20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14"/>
        <v/>
      </c>
      <c r="C118" s="157">
        <f>IF(D93="","-",+C117+1)</f>
        <v>2032</v>
      </c>
      <c r="D118" s="158">
        <f>IF(F117+SUM(E$99:E117)=D$92,F117,D$92-SUM(E$99:E117))</f>
        <v>618937</v>
      </c>
      <c r="E118" s="164">
        <f t="shared" si="15"/>
        <v>22512</v>
      </c>
      <c r="F118" s="163">
        <f t="shared" si="16"/>
        <v>596425</v>
      </c>
      <c r="G118" s="163">
        <f t="shared" si="17"/>
        <v>607681</v>
      </c>
      <c r="H118" s="167">
        <f t="shared" si="18"/>
        <v>99597.867118185866</v>
      </c>
      <c r="I118" s="317">
        <f t="shared" si="19"/>
        <v>99597.867118185866</v>
      </c>
      <c r="J118" s="162">
        <f t="shared" si="20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14"/>
        <v/>
      </c>
      <c r="C119" s="157">
        <f>IF(D93="","-",+C118+1)</f>
        <v>2033</v>
      </c>
      <c r="D119" s="158">
        <f>IF(F118+SUM(E$99:E118)=D$92,F118,D$92-SUM(E$99:E118))</f>
        <v>596425</v>
      </c>
      <c r="E119" s="164">
        <f t="shared" si="15"/>
        <v>22512</v>
      </c>
      <c r="F119" s="163">
        <f t="shared" si="16"/>
        <v>573913</v>
      </c>
      <c r="G119" s="163">
        <f t="shared" si="17"/>
        <v>585169</v>
      </c>
      <c r="H119" s="167">
        <f t="shared" si="18"/>
        <v>96742.163154157708</v>
      </c>
      <c r="I119" s="317">
        <f t="shared" si="19"/>
        <v>96742.163154157708</v>
      </c>
      <c r="J119" s="162">
        <f t="shared" si="20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14"/>
        <v/>
      </c>
      <c r="C120" s="157">
        <f>IF(D93="","-",+C119+1)</f>
        <v>2034</v>
      </c>
      <c r="D120" s="158">
        <f>IF(F119+SUM(E$99:E119)=D$92,F119,D$92-SUM(E$99:E119))</f>
        <v>573913</v>
      </c>
      <c r="E120" s="164">
        <f t="shared" si="15"/>
        <v>22512</v>
      </c>
      <c r="F120" s="163">
        <f t="shared" si="16"/>
        <v>551401</v>
      </c>
      <c r="G120" s="163">
        <f t="shared" si="17"/>
        <v>562657</v>
      </c>
      <c r="H120" s="167">
        <f t="shared" si="18"/>
        <v>93886.459190129535</v>
      </c>
      <c r="I120" s="317">
        <f t="shared" si="19"/>
        <v>93886.459190129535</v>
      </c>
      <c r="J120" s="162">
        <f t="shared" si="20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14"/>
        <v/>
      </c>
      <c r="C121" s="157">
        <f>IF(D93="","-",+C120+1)</f>
        <v>2035</v>
      </c>
      <c r="D121" s="158">
        <f>IF(F120+SUM(E$99:E120)=D$92,F120,D$92-SUM(E$99:E120))</f>
        <v>551401</v>
      </c>
      <c r="E121" s="164">
        <f t="shared" si="15"/>
        <v>22512</v>
      </c>
      <c r="F121" s="163">
        <f t="shared" si="16"/>
        <v>528889</v>
      </c>
      <c r="G121" s="163">
        <f t="shared" si="17"/>
        <v>540145</v>
      </c>
      <c r="H121" s="167">
        <f t="shared" si="18"/>
        <v>91030.755226101377</v>
      </c>
      <c r="I121" s="317">
        <f t="shared" si="19"/>
        <v>91030.755226101377</v>
      </c>
      <c r="J121" s="162">
        <f t="shared" si="20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14"/>
        <v/>
      </c>
      <c r="C122" s="157">
        <f>IF(D93="","-",+C121+1)</f>
        <v>2036</v>
      </c>
      <c r="D122" s="158">
        <f>IF(F121+SUM(E$99:E121)=D$92,F121,D$92-SUM(E$99:E121))</f>
        <v>528889</v>
      </c>
      <c r="E122" s="164">
        <f t="shared" si="15"/>
        <v>22512</v>
      </c>
      <c r="F122" s="163">
        <f t="shared" si="16"/>
        <v>506377</v>
      </c>
      <c r="G122" s="163">
        <f t="shared" si="17"/>
        <v>517633</v>
      </c>
      <c r="H122" s="167">
        <f t="shared" si="18"/>
        <v>88175.051262073204</v>
      </c>
      <c r="I122" s="317">
        <f t="shared" si="19"/>
        <v>88175.051262073204</v>
      </c>
      <c r="J122" s="162">
        <f t="shared" si="20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14"/>
        <v/>
      </c>
      <c r="C123" s="157">
        <f>IF(D93="","-",+C122+1)</f>
        <v>2037</v>
      </c>
      <c r="D123" s="158">
        <f>IF(F122+SUM(E$99:E122)=D$92,F122,D$92-SUM(E$99:E122))</f>
        <v>506377</v>
      </c>
      <c r="E123" s="164">
        <f t="shared" si="15"/>
        <v>22512</v>
      </c>
      <c r="F123" s="163">
        <f t="shared" si="16"/>
        <v>483865</v>
      </c>
      <c r="G123" s="163">
        <f t="shared" si="17"/>
        <v>495121</v>
      </c>
      <c r="H123" s="167">
        <f t="shared" si="18"/>
        <v>85319.347298045031</v>
      </c>
      <c r="I123" s="317">
        <f t="shared" si="19"/>
        <v>85319.347298045031</v>
      </c>
      <c r="J123" s="162">
        <f t="shared" si="20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14"/>
        <v/>
      </c>
      <c r="C124" s="157">
        <f>IF(D93="","-",+C123+1)</f>
        <v>2038</v>
      </c>
      <c r="D124" s="158">
        <f>IF(F123+SUM(E$99:E123)=D$92,F123,D$92-SUM(E$99:E123))</f>
        <v>483865</v>
      </c>
      <c r="E124" s="164">
        <f t="shared" si="15"/>
        <v>22512</v>
      </c>
      <c r="F124" s="163">
        <f t="shared" si="16"/>
        <v>461353</v>
      </c>
      <c r="G124" s="163">
        <f t="shared" si="17"/>
        <v>472609</v>
      </c>
      <c r="H124" s="167">
        <f t="shared" si="18"/>
        <v>82463.643334016873</v>
      </c>
      <c r="I124" s="317">
        <f t="shared" si="19"/>
        <v>82463.643334016873</v>
      </c>
      <c r="J124" s="162">
        <f t="shared" si="20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14"/>
        <v/>
      </c>
      <c r="C125" s="157">
        <f>IF(D93="","-",+C124+1)</f>
        <v>2039</v>
      </c>
      <c r="D125" s="158">
        <f>IF(F124+SUM(E$99:E124)=D$92,F124,D$92-SUM(E$99:E124))</f>
        <v>461353</v>
      </c>
      <c r="E125" s="164">
        <f t="shared" si="15"/>
        <v>22512</v>
      </c>
      <c r="F125" s="163">
        <f t="shared" si="16"/>
        <v>438841</v>
      </c>
      <c r="G125" s="163">
        <f t="shared" si="17"/>
        <v>450097</v>
      </c>
      <c r="H125" s="167">
        <f t="shared" si="18"/>
        <v>79607.939369988715</v>
      </c>
      <c r="I125" s="317">
        <f t="shared" si="19"/>
        <v>79607.939369988715</v>
      </c>
      <c r="J125" s="162">
        <f t="shared" si="20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14"/>
        <v/>
      </c>
      <c r="C126" s="157">
        <f>IF(D93="","-",+C125+1)</f>
        <v>2040</v>
      </c>
      <c r="D126" s="158">
        <f>IF(F125+SUM(E$99:E125)=D$92,F125,D$92-SUM(E$99:E125))</f>
        <v>438841</v>
      </c>
      <c r="E126" s="164">
        <f t="shared" si="15"/>
        <v>22512</v>
      </c>
      <c r="F126" s="163">
        <f t="shared" si="16"/>
        <v>416329</v>
      </c>
      <c r="G126" s="163">
        <f t="shared" si="17"/>
        <v>427585</v>
      </c>
      <c r="H126" s="167">
        <f t="shared" si="18"/>
        <v>76752.235405960542</v>
      </c>
      <c r="I126" s="317">
        <f t="shared" si="19"/>
        <v>76752.235405960542</v>
      </c>
      <c r="J126" s="162">
        <f t="shared" si="20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14"/>
        <v/>
      </c>
      <c r="C127" s="157">
        <f>IF(D93="","-",+C126+1)</f>
        <v>2041</v>
      </c>
      <c r="D127" s="158">
        <f>IF(F126+SUM(E$99:E126)=D$92,F126,D$92-SUM(E$99:E126))</f>
        <v>416329</v>
      </c>
      <c r="E127" s="164">
        <f t="shared" si="15"/>
        <v>22512</v>
      </c>
      <c r="F127" s="163">
        <f t="shared" si="16"/>
        <v>393817</v>
      </c>
      <c r="G127" s="163">
        <f t="shared" si="17"/>
        <v>405073</v>
      </c>
      <c r="H127" s="167">
        <f t="shared" si="18"/>
        <v>73896.531441932369</v>
      </c>
      <c r="I127" s="317">
        <f t="shared" si="19"/>
        <v>73896.531441932369</v>
      </c>
      <c r="J127" s="162">
        <f t="shared" si="20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14"/>
        <v/>
      </c>
      <c r="C128" s="157">
        <f>IF(D93="","-",+C127+1)</f>
        <v>2042</v>
      </c>
      <c r="D128" s="158">
        <f>IF(F127+SUM(E$99:E127)=D$92,F127,D$92-SUM(E$99:E127))</f>
        <v>393817</v>
      </c>
      <c r="E128" s="164">
        <f t="shared" si="15"/>
        <v>22512</v>
      </c>
      <c r="F128" s="163">
        <f t="shared" si="16"/>
        <v>371305</v>
      </c>
      <c r="G128" s="163">
        <f t="shared" si="17"/>
        <v>382561</v>
      </c>
      <c r="H128" s="167">
        <f t="shared" si="18"/>
        <v>71040.827477904211</v>
      </c>
      <c r="I128" s="317">
        <f t="shared" si="19"/>
        <v>71040.827477904211</v>
      </c>
      <c r="J128" s="162">
        <f t="shared" si="20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14"/>
        <v/>
      </c>
      <c r="C129" s="157">
        <f>IF(D93="","-",+C128+1)</f>
        <v>2043</v>
      </c>
      <c r="D129" s="158">
        <f>IF(F128+SUM(E$99:E128)=D$92,F128,D$92-SUM(E$99:E128))</f>
        <v>371305</v>
      </c>
      <c r="E129" s="164">
        <f t="shared" si="15"/>
        <v>22512</v>
      </c>
      <c r="F129" s="163">
        <f t="shared" si="16"/>
        <v>348793</v>
      </c>
      <c r="G129" s="163">
        <f t="shared" si="17"/>
        <v>360049</v>
      </c>
      <c r="H129" s="167">
        <f t="shared" si="18"/>
        <v>68185.123513876038</v>
      </c>
      <c r="I129" s="317">
        <f t="shared" si="19"/>
        <v>68185.123513876038</v>
      </c>
      <c r="J129" s="162">
        <f t="shared" si="20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14"/>
        <v/>
      </c>
      <c r="C130" s="157">
        <f>IF(D93="","-",+C129+1)</f>
        <v>2044</v>
      </c>
      <c r="D130" s="158">
        <f>IF(F129+SUM(E$99:E129)=D$92,F129,D$92-SUM(E$99:E129))</f>
        <v>348793</v>
      </c>
      <c r="E130" s="164">
        <f t="shared" si="15"/>
        <v>22512</v>
      </c>
      <c r="F130" s="163">
        <f t="shared" si="16"/>
        <v>326281</v>
      </c>
      <c r="G130" s="163">
        <f t="shared" si="17"/>
        <v>337537</v>
      </c>
      <c r="H130" s="167">
        <f t="shared" si="18"/>
        <v>65329.419549847873</v>
      </c>
      <c r="I130" s="317">
        <f t="shared" si="19"/>
        <v>65329.419549847873</v>
      </c>
      <c r="J130" s="162">
        <f t="shared" si="20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14"/>
        <v/>
      </c>
      <c r="C131" s="157">
        <f>IF(D93="","-",+C130+1)</f>
        <v>2045</v>
      </c>
      <c r="D131" s="158">
        <f>IF(F130+SUM(E$99:E130)=D$92,F130,D$92-SUM(E$99:E130))</f>
        <v>326281</v>
      </c>
      <c r="E131" s="164">
        <f t="shared" si="15"/>
        <v>22512</v>
      </c>
      <c r="F131" s="163">
        <f t="shared" si="16"/>
        <v>303769</v>
      </c>
      <c r="G131" s="163">
        <f t="shared" si="17"/>
        <v>315025</v>
      </c>
      <c r="H131" s="167">
        <f t="shared" si="18"/>
        <v>62473.715585819707</v>
      </c>
      <c r="I131" s="317">
        <f t="shared" si="19"/>
        <v>62473.715585819707</v>
      </c>
      <c r="J131" s="162">
        <f t="shared" si="20"/>
        <v>0</v>
      </c>
      <c r="K131" s="162"/>
      <c r="L131" s="335"/>
      <c r="M131" s="162">
        <f t="shared" ref="M131:M154" si="24">IF(L541&lt;&gt;0,+H541-L541,0)</f>
        <v>0</v>
      </c>
      <c r="N131" s="335"/>
      <c r="O131" s="162">
        <f t="shared" ref="O131:O154" si="25">IF(N541&lt;&gt;0,+I541-N541,0)</f>
        <v>0</v>
      </c>
      <c r="P131" s="162">
        <f t="shared" ref="P131:P154" si="26">+O541-M541</f>
        <v>0</v>
      </c>
    </row>
    <row r="132" spans="2:16">
      <c r="B132" s="9" t="str">
        <f t="shared" si="14"/>
        <v/>
      </c>
      <c r="C132" s="157">
        <f>IF(D93="","-",+C131+1)</f>
        <v>2046</v>
      </c>
      <c r="D132" s="158">
        <f>IF(F131+SUM(E$99:E131)=D$92,F131,D$92-SUM(E$99:E131))</f>
        <v>303769</v>
      </c>
      <c r="E132" s="164">
        <f t="shared" si="15"/>
        <v>22512</v>
      </c>
      <c r="F132" s="163">
        <f t="shared" si="16"/>
        <v>281257</v>
      </c>
      <c r="G132" s="163">
        <f t="shared" si="17"/>
        <v>292513</v>
      </c>
      <c r="H132" s="167">
        <f t="shared" si="18"/>
        <v>59618.011621791542</v>
      </c>
      <c r="I132" s="317">
        <f t="shared" si="19"/>
        <v>59618.011621791542</v>
      </c>
      <c r="J132" s="162">
        <f t="shared" si="20"/>
        <v>0</v>
      </c>
      <c r="K132" s="162"/>
      <c r="L132" s="335"/>
      <c r="M132" s="162">
        <f t="shared" si="24"/>
        <v>0</v>
      </c>
      <c r="N132" s="335"/>
      <c r="O132" s="162">
        <f t="shared" si="25"/>
        <v>0</v>
      </c>
      <c r="P132" s="162">
        <f t="shared" si="26"/>
        <v>0</v>
      </c>
    </row>
    <row r="133" spans="2:16">
      <c r="B133" s="9" t="str">
        <f t="shared" si="14"/>
        <v/>
      </c>
      <c r="C133" s="157">
        <f>IF(D93="","-",+C132+1)</f>
        <v>2047</v>
      </c>
      <c r="D133" s="158">
        <f>IF(F132+SUM(E$99:E132)=D$92,F132,D$92-SUM(E$99:E132))</f>
        <v>281257</v>
      </c>
      <c r="E133" s="164">
        <f t="shared" si="15"/>
        <v>22512</v>
      </c>
      <c r="F133" s="163">
        <f t="shared" si="16"/>
        <v>258745</v>
      </c>
      <c r="G133" s="163">
        <f t="shared" si="17"/>
        <v>270001</v>
      </c>
      <c r="H133" s="167">
        <f t="shared" si="18"/>
        <v>56762.307657763369</v>
      </c>
      <c r="I133" s="317">
        <f t="shared" si="19"/>
        <v>56762.307657763369</v>
      </c>
      <c r="J133" s="162">
        <f t="shared" si="20"/>
        <v>0</v>
      </c>
      <c r="K133" s="162"/>
      <c r="L133" s="335"/>
      <c r="M133" s="162">
        <f t="shared" si="24"/>
        <v>0</v>
      </c>
      <c r="N133" s="335"/>
      <c r="O133" s="162">
        <f t="shared" si="25"/>
        <v>0</v>
      </c>
      <c r="P133" s="162">
        <f t="shared" si="26"/>
        <v>0</v>
      </c>
    </row>
    <row r="134" spans="2:16">
      <c r="B134" s="9" t="str">
        <f t="shared" si="14"/>
        <v/>
      </c>
      <c r="C134" s="157">
        <f>IF(D93="","-",+C133+1)</f>
        <v>2048</v>
      </c>
      <c r="D134" s="158">
        <f>IF(F133+SUM(E$99:E133)=D$92,F133,D$92-SUM(E$99:E133))</f>
        <v>258745</v>
      </c>
      <c r="E134" s="164">
        <f t="shared" si="15"/>
        <v>22512</v>
      </c>
      <c r="F134" s="163">
        <f t="shared" si="16"/>
        <v>236233</v>
      </c>
      <c r="G134" s="163">
        <f t="shared" si="17"/>
        <v>247489</v>
      </c>
      <c r="H134" s="167">
        <f t="shared" si="18"/>
        <v>53906.603693735204</v>
      </c>
      <c r="I134" s="317">
        <f t="shared" si="19"/>
        <v>53906.603693735204</v>
      </c>
      <c r="J134" s="162">
        <f t="shared" si="20"/>
        <v>0</v>
      </c>
      <c r="K134" s="162"/>
      <c r="L134" s="335"/>
      <c r="M134" s="162">
        <f t="shared" si="24"/>
        <v>0</v>
      </c>
      <c r="N134" s="335"/>
      <c r="O134" s="162">
        <f t="shared" si="25"/>
        <v>0</v>
      </c>
      <c r="P134" s="162">
        <f t="shared" si="26"/>
        <v>0</v>
      </c>
    </row>
    <row r="135" spans="2:16">
      <c r="B135" s="9" t="str">
        <f t="shared" si="14"/>
        <v/>
      </c>
      <c r="C135" s="157">
        <f>IF(D93="","-",+C134+1)</f>
        <v>2049</v>
      </c>
      <c r="D135" s="158">
        <f>IF(F134+SUM(E$99:E134)=D$92,F134,D$92-SUM(E$99:E134))</f>
        <v>236233</v>
      </c>
      <c r="E135" s="164">
        <f t="shared" si="15"/>
        <v>22512</v>
      </c>
      <c r="F135" s="163">
        <f t="shared" si="16"/>
        <v>213721</v>
      </c>
      <c r="G135" s="163">
        <f t="shared" si="17"/>
        <v>224977</v>
      </c>
      <c r="H135" s="167">
        <f t="shared" si="18"/>
        <v>51050.899729707038</v>
      </c>
      <c r="I135" s="317">
        <f t="shared" si="19"/>
        <v>51050.899729707038</v>
      </c>
      <c r="J135" s="162">
        <f t="shared" si="20"/>
        <v>0</v>
      </c>
      <c r="K135" s="162"/>
      <c r="L135" s="335"/>
      <c r="M135" s="162">
        <f t="shared" si="24"/>
        <v>0</v>
      </c>
      <c r="N135" s="335"/>
      <c r="O135" s="162">
        <f t="shared" si="25"/>
        <v>0</v>
      </c>
      <c r="P135" s="162">
        <f t="shared" si="26"/>
        <v>0</v>
      </c>
    </row>
    <row r="136" spans="2:16">
      <c r="B136" s="9" t="str">
        <f t="shared" si="14"/>
        <v/>
      </c>
      <c r="C136" s="157">
        <f>IF(D93="","-",+C135+1)</f>
        <v>2050</v>
      </c>
      <c r="D136" s="158">
        <f>IF(F135+SUM(E$99:E135)=D$92,F135,D$92-SUM(E$99:E135))</f>
        <v>213721</v>
      </c>
      <c r="E136" s="164">
        <f t="shared" si="15"/>
        <v>22512</v>
      </c>
      <c r="F136" s="163">
        <f t="shared" si="16"/>
        <v>191209</v>
      </c>
      <c r="G136" s="163">
        <f t="shared" si="17"/>
        <v>202465</v>
      </c>
      <c r="H136" s="167">
        <f t="shared" si="18"/>
        <v>48195.195765678873</v>
      </c>
      <c r="I136" s="317">
        <f t="shared" si="19"/>
        <v>48195.195765678873</v>
      </c>
      <c r="J136" s="162">
        <f t="shared" si="20"/>
        <v>0</v>
      </c>
      <c r="K136" s="162"/>
      <c r="L136" s="335"/>
      <c r="M136" s="162">
        <f t="shared" si="24"/>
        <v>0</v>
      </c>
      <c r="N136" s="335"/>
      <c r="O136" s="162">
        <f t="shared" si="25"/>
        <v>0</v>
      </c>
      <c r="P136" s="162">
        <f t="shared" si="26"/>
        <v>0</v>
      </c>
    </row>
    <row r="137" spans="2:16">
      <c r="B137" s="9" t="str">
        <f t="shared" si="14"/>
        <v/>
      </c>
      <c r="C137" s="157">
        <f>IF(D93="","-",+C136+1)</f>
        <v>2051</v>
      </c>
      <c r="D137" s="158">
        <f>IF(F136+SUM(E$99:E136)=D$92,F136,D$92-SUM(E$99:E136))</f>
        <v>191209</v>
      </c>
      <c r="E137" s="164">
        <f t="shared" si="15"/>
        <v>22512</v>
      </c>
      <c r="F137" s="163">
        <f t="shared" si="16"/>
        <v>168697</v>
      </c>
      <c r="G137" s="163">
        <f t="shared" si="17"/>
        <v>179953</v>
      </c>
      <c r="H137" s="167">
        <f t="shared" si="18"/>
        <v>45339.491801650707</v>
      </c>
      <c r="I137" s="317">
        <f t="shared" si="19"/>
        <v>45339.491801650707</v>
      </c>
      <c r="J137" s="162">
        <f t="shared" si="20"/>
        <v>0</v>
      </c>
      <c r="K137" s="162"/>
      <c r="L137" s="335"/>
      <c r="M137" s="162">
        <f t="shared" si="24"/>
        <v>0</v>
      </c>
      <c r="N137" s="335"/>
      <c r="O137" s="162">
        <f t="shared" si="25"/>
        <v>0</v>
      </c>
      <c r="P137" s="162">
        <f t="shared" si="26"/>
        <v>0</v>
      </c>
    </row>
    <row r="138" spans="2:16">
      <c r="B138" s="9" t="str">
        <f t="shared" si="14"/>
        <v/>
      </c>
      <c r="C138" s="157">
        <f>IF(D93="","-",+C137+1)</f>
        <v>2052</v>
      </c>
      <c r="D138" s="158">
        <f>IF(F137+SUM(E$99:E137)=D$92,F137,D$92-SUM(E$99:E137))</f>
        <v>168697</v>
      </c>
      <c r="E138" s="164">
        <f t="shared" si="15"/>
        <v>22512</v>
      </c>
      <c r="F138" s="163">
        <f t="shared" si="16"/>
        <v>146185</v>
      </c>
      <c r="G138" s="163">
        <f t="shared" si="17"/>
        <v>157441</v>
      </c>
      <c r="H138" s="167">
        <f t="shared" si="18"/>
        <v>42483.787837622542</v>
      </c>
      <c r="I138" s="317">
        <f t="shared" si="19"/>
        <v>42483.787837622542</v>
      </c>
      <c r="J138" s="162">
        <f t="shared" si="20"/>
        <v>0</v>
      </c>
      <c r="K138" s="162"/>
      <c r="L138" s="335"/>
      <c r="M138" s="162">
        <f t="shared" si="24"/>
        <v>0</v>
      </c>
      <c r="N138" s="335"/>
      <c r="O138" s="162">
        <f t="shared" si="25"/>
        <v>0</v>
      </c>
      <c r="P138" s="162">
        <f t="shared" si="26"/>
        <v>0</v>
      </c>
    </row>
    <row r="139" spans="2:16">
      <c r="B139" s="9" t="str">
        <f t="shared" si="14"/>
        <v/>
      </c>
      <c r="C139" s="157">
        <f>IF(D93="","-",+C138+1)</f>
        <v>2053</v>
      </c>
      <c r="D139" s="158">
        <f>IF(F138+SUM(E$99:E138)=D$92,F138,D$92-SUM(E$99:E138))</f>
        <v>146185</v>
      </c>
      <c r="E139" s="164">
        <f t="shared" si="15"/>
        <v>22512</v>
      </c>
      <c r="F139" s="163">
        <f t="shared" si="16"/>
        <v>123673</v>
      </c>
      <c r="G139" s="163">
        <f t="shared" si="17"/>
        <v>134929</v>
      </c>
      <c r="H139" s="167">
        <f t="shared" si="18"/>
        <v>39628.083873594369</v>
      </c>
      <c r="I139" s="317">
        <f t="shared" si="19"/>
        <v>39628.083873594369</v>
      </c>
      <c r="J139" s="162">
        <f t="shared" si="20"/>
        <v>0</v>
      </c>
      <c r="K139" s="162"/>
      <c r="L139" s="335"/>
      <c r="M139" s="162">
        <f t="shared" si="24"/>
        <v>0</v>
      </c>
      <c r="N139" s="335"/>
      <c r="O139" s="162">
        <f t="shared" si="25"/>
        <v>0</v>
      </c>
      <c r="P139" s="162">
        <f t="shared" si="26"/>
        <v>0</v>
      </c>
    </row>
    <row r="140" spans="2:16">
      <c r="B140" s="9" t="str">
        <f t="shared" si="14"/>
        <v/>
      </c>
      <c r="C140" s="157">
        <f>IF(D93="","-",+C139+1)</f>
        <v>2054</v>
      </c>
      <c r="D140" s="158">
        <f>IF(F139+SUM(E$99:E139)=D$92,F139,D$92-SUM(E$99:E139))</f>
        <v>123673</v>
      </c>
      <c r="E140" s="164">
        <f t="shared" si="15"/>
        <v>22512</v>
      </c>
      <c r="F140" s="163">
        <f t="shared" si="16"/>
        <v>101161</v>
      </c>
      <c r="G140" s="163">
        <f t="shared" si="17"/>
        <v>112417</v>
      </c>
      <c r="H140" s="167">
        <f t="shared" si="18"/>
        <v>36772.379909566203</v>
      </c>
      <c r="I140" s="317">
        <f t="shared" si="19"/>
        <v>36772.379909566203</v>
      </c>
      <c r="J140" s="162">
        <f t="shared" si="20"/>
        <v>0</v>
      </c>
      <c r="K140" s="162"/>
      <c r="L140" s="335"/>
      <c r="M140" s="162">
        <f t="shared" si="24"/>
        <v>0</v>
      </c>
      <c r="N140" s="335"/>
      <c r="O140" s="162">
        <f t="shared" si="25"/>
        <v>0</v>
      </c>
      <c r="P140" s="162">
        <f t="shared" si="26"/>
        <v>0</v>
      </c>
    </row>
    <row r="141" spans="2:16">
      <c r="B141" s="9" t="str">
        <f t="shared" si="14"/>
        <v/>
      </c>
      <c r="C141" s="157">
        <f>IF(D93="","-",+C140+1)</f>
        <v>2055</v>
      </c>
      <c r="D141" s="158">
        <f>IF(F140+SUM(E$99:E140)=D$92,F140,D$92-SUM(E$99:E140))</f>
        <v>101161</v>
      </c>
      <c r="E141" s="164">
        <f t="shared" si="15"/>
        <v>22512</v>
      </c>
      <c r="F141" s="163">
        <f t="shared" si="16"/>
        <v>78649</v>
      </c>
      <c r="G141" s="163">
        <f t="shared" si="17"/>
        <v>89905</v>
      </c>
      <c r="H141" s="167">
        <f t="shared" si="18"/>
        <v>33916.675945538038</v>
      </c>
      <c r="I141" s="317">
        <f t="shared" si="19"/>
        <v>33916.675945538038</v>
      </c>
      <c r="J141" s="162">
        <f t="shared" si="20"/>
        <v>0</v>
      </c>
      <c r="K141" s="162"/>
      <c r="L141" s="335"/>
      <c r="M141" s="162">
        <f t="shared" si="24"/>
        <v>0</v>
      </c>
      <c r="N141" s="335"/>
      <c r="O141" s="162">
        <f t="shared" si="25"/>
        <v>0</v>
      </c>
      <c r="P141" s="162">
        <f t="shared" si="26"/>
        <v>0</v>
      </c>
    </row>
    <row r="142" spans="2:16">
      <c r="B142" s="9" t="str">
        <f t="shared" si="14"/>
        <v/>
      </c>
      <c r="C142" s="157">
        <f>IF(D93="","-",+C141+1)</f>
        <v>2056</v>
      </c>
      <c r="D142" s="158">
        <f>IF(F141+SUM(E$99:E141)=D$92,F141,D$92-SUM(E$99:E141))</f>
        <v>78649</v>
      </c>
      <c r="E142" s="164">
        <f t="shared" si="15"/>
        <v>22512</v>
      </c>
      <c r="F142" s="163">
        <f t="shared" si="16"/>
        <v>56137</v>
      </c>
      <c r="G142" s="163">
        <f t="shared" si="17"/>
        <v>67393</v>
      </c>
      <c r="H142" s="167">
        <f t="shared" si="18"/>
        <v>31060.971981509872</v>
      </c>
      <c r="I142" s="317">
        <f t="shared" si="19"/>
        <v>31060.971981509872</v>
      </c>
      <c r="J142" s="162">
        <f t="shared" si="20"/>
        <v>0</v>
      </c>
      <c r="K142" s="162"/>
      <c r="L142" s="335"/>
      <c r="M142" s="162">
        <f t="shared" si="24"/>
        <v>0</v>
      </c>
      <c r="N142" s="335"/>
      <c r="O142" s="162">
        <f t="shared" si="25"/>
        <v>0</v>
      </c>
      <c r="P142" s="162">
        <f t="shared" si="26"/>
        <v>0</v>
      </c>
    </row>
    <row r="143" spans="2:16">
      <c r="B143" s="9" t="str">
        <f t="shared" si="14"/>
        <v/>
      </c>
      <c r="C143" s="157">
        <f>IF(D93="","-",+C142+1)</f>
        <v>2057</v>
      </c>
      <c r="D143" s="158">
        <f>IF(F142+SUM(E$99:E142)=D$92,F142,D$92-SUM(E$99:E142))</f>
        <v>56137</v>
      </c>
      <c r="E143" s="164">
        <f t="shared" si="15"/>
        <v>22512</v>
      </c>
      <c r="F143" s="163">
        <f t="shared" si="16"/>
        <v>33625</v>
      </c>
      <c r="G143" s="163">
        <f t="shared" si="17"/>
        <v>44881</v>
      </c>
      <c r="H143" s="167">
        <f t="shared" si="18"/>
        <v>28205.268017481707</v>
      </c>
      <c r="I143" s="317">
        <f t="shared" si="19"/>
        <v>28205.268017481707</v>
      </c>
      <c r="J143" s="162">
        <f t="shared" si="20"/>
        <v>0</v>
      </c>
      <c r="K143" s="162"/>
      <c r="L143" s="335"/>
      <c r="M143" s="162">
        <f t="shared" si="24"/>
        <v>0</v>
      </c>
      <c r="N143" s="335"/>
      <c r="O143" s="162">
        <f t="shared" si="25"/>
        <v>0</v>
      </c>
      <c r="P143" s="162">
        <f t="shared" si="26"/>
        <v>0</v>
      </c>
    </row>
    <row r="144" spans="2:16">
      <c r="B144" s="9" t="str">
        <f t="shared" si="14"/>
        <v/>
      </c>
      <c r="C144" s="157">
        <f>IF(D93="","-",+C143+1)</f>
        <v>2058</v>
      </c>
      <c r="D144" s="158">
        <f>IF(F143+SUM(E$99:E143)=D$92,F143,D$92-SUM(E$99:E143))</f>
        <v>33625</v>
      </c>
      <c r="E144" s="164">
        <f t="shared" si="15"/>
        <v>22512</v>
      </c>
      <c r="F144" s="163">
        <f t="shared" si="16"/>
        <v>11113</v>
      </c>
      <c r="G144" s="163">
        <f t="shared" si="17"/>
        <v>22369</v>
      </c>
      <c r="H144" s="167">
        <f t="shared" si="18"/>
        <v>25349.564053453538</v>
      </c>
      <c r="I144" s="317">
        <f t="shared" si="19"/>
        <v>25349.564053453538</v>
      </c>
      <c r="J144" s="162">
        <f t="shared" si="20"/>
        <v>0</v>
      </c>
      <c r="K144" s="162"/>
      <c r="L144" s="335"/>
      <c r="M144" s="162">
        <f t="shared" si="24"/>
        <v>0</v>
      </c>
      <c r="N144" s="335"/>
      <c r="O144" s="162">
        <f t="shared" si="25"/>
        <v>0</v>
      </c>
      <c r="P144" s="162">
        <f t="shared" si="26"/>
        <v>0</v>
      </c>
    </row>
    <row r="145" spans="2:16">
      <c r="B145" s="9" t="str">
        <f t="shared" si="14"/>
        <v/>
      </c>
      <c r="C145" s="157">
        <f>IF(D93="","-",+C144+1)</f>
        <v>2059</v>
      </c>
      <c r="D145" s="158">
        <f>IF(F144+SUM(E$99:E144)=D$92,F144,D$92-SUM(E$99:E144))</f>
        <v>11113</v>
      </c>
      <c r="E145" s="164">
        <f t="shared" si="15"/>
        <v>11113</v>
      </c>
      <c r="F145" s="163">
        <f t="shared" si="16"/>
        <v>0</v>
      </c>
      <c r="G145" s="163">
        <f t="shared" si="17"/>
        <v>5556.5</v>
      </c>
      <c r="H145" s="167">
        <f t="shared" si="18"/>
        <v>11817.856035719728</v>
      </c>
      <c r="I145" s="317">
        <f t="shared" si="19"/>
        <v>11817.856035719728</v>
      </c>
      <c r="J145" s="162">
        <f t="shared" si="20"/>
        <v>0</v>
      </c>
      <c r="K145" s="162"/>
      <c r="L145" s="335"/>
      <c r="M145" s="162">
        <f t="shared" si="24"/>
        <v>0</v>
      </c>
      <c r="N145" s="335"/>
      <c r="O145" s="162">
        <f t="shared" si="25"/>
        <v>0</v>
      </c>
      <c r="P145" s="162">
        <f t="shared" si="26"/>
        <v>0</v>
      </c>
    </row>
    <row r="146" spans="2:16">
      <c r="B146" s="9" t="str">
        <f t="shared" si="14"/>
        <v/>
      </c>
      <c r="C146" s="157">
        <f>IF(D93="","-",+C145+1)</f>
        <v>2060</v>
      </c>
      <c r="D146" s="158">
        <f>IF(F145+SUM(E$99:E145)=D$92,F145,D$92-SUM(E$99:E145))</f>
        <v>0</v>
      </c>
      <c r="E146" s="164">
        <f t="shared" si="15"/>
        <v>0</v>
      </c>
      <c r="F146" s="163">
        <f t="shared" si="16"/>
        <v>0</v>
      </c>
      <c r="G146" s="163">
        <f t="shared" si="17"/>
        <v>0</v>
      </c>
      <c r="H146" s="167">
        <f t="shared" si="18"/>
        <v>0</v>
      </c>
      <c r="I146" s="317">
        <f t="shared" si="19"/>
        <v>0</v>
      </c>
      <c r="J146" s="162">
        <f t="shared" si="20"/>
        <v>0</v>
      </c>
      <c r="K146" s="162"/>
      <c r="L146" s="335"/>
      <c r="M146" s="162">
        <f t="shared" si="24"/>
        <v>0</v>
      </c>
      <c r="N146" s="335"/>
      <c r="O146" s="162">
        <f t="shared" si="25"/>
        <v>0</v>
      </c>
      <c r="P146" s="162">
        <f t="shared" si="26"/>
        <v>0</v>
      </c>
    </row>
    <row r="147" spans="2:16">
      <c r="B147" s="9" t="str">
        <f t="shared" si="14"/>
        <v/>
      </c>
      <c r="C147" s="157">
        <f>IF(D93="","-",+C146+1)</f>
        <v>2061</v>
      </c>
      <c r="D147" s="158">
        <f>IF(F146+SUM(E$99:E146)=D$92,F146,D$92-SUM(E$99:E146))</f>
        <v>0</v>
      </c>
      <c r="E147" s="164">
        <f t="shared" si="15"/>
        <v>0</v>
      </c>
      <c r="F147" s="163">
        <f t="shared" si="16"/>
        <v>0</v>
      </c>
      <c r="G147" s="163">
        <f t="shared" si="17"/>
        <v>0</v>
      </c>
      <c r="H147" s="167">
        <f t="shared" si="18"/>
        <v>0</v>
      </c>
      <c r="I147" s="317">
        <f t="shared" si="19"/>
        <v>0</v>
      </c>
      <c r="J147" s="162">
        <f t="shared" si="20"/>
        <v>0</v>
      </c>
      <c r="K147" s="162"/>
      <c r="L147" s="335"/>
      <c r="M147" s="162">
        <f t="shared" si="24"/>
        <v>0</v>
      </c>
      <c r="N147" s="335"/>
      <c r="O147" s="162">
        <f t="shared" si="25"/>
        <v>0</v>
      </c>
      <c r="P147" s="162">
        <f t="shared" si="26"/>
        <v>0</v>
      </c>
    </row>
    <row r="148" spans="2:16">
      <c r="B148" s="9" t="str">
        <f t="shared" si="14"/>
        <v/>
      </c>
      <c r="C148" s="157">
        <f>IF(D93="","-",+C147+1)</f>
        <v>2062</v>
      </c>
      <c r="D148" s="158">
        <f>IF(F147+SUM(E$99:E147)=D$92,F147,D$92-SUM(E$99:E147))</f>
        <v>0</v>
      </c>
      <c r="E148" s="164">
        <f t="shared" si="15"/>
        <v>0</v>
      </c>
      <c r="F148" s="163">
        <f t="shared" si="16"/>
        <v>0</v>
      </c>
      <c r="G148" s="163">
        <f t="shared" si="17"/>
        <v>0</v>
      </c>
      <c r="H148" s="167">
        <f t="shared" si="18"/>
        <v>0</v>
      </c>
      <c r="I148" s="317">
        <f t="shared" si="19"/>
        <v>0</v>
      </c>
      <c r="J148" s="162">
        <f t="shared" si="20"/>
        <v>0</v>
      </c>
      <c r="K148" s="162"/>
      <c r="L148" s="335"/>
      <c r="M148" s="162">
        <f t="shared" si="24"/>
        <v>0</v>
      </c>
      <c r="N148" s="335"/>
      <c r="O148" s="162">
        <f t="shared" si="25"/>
        <v>0</v>
      </c>
      <c r="P148" s="162">
        <f t="shared" si="26"/>
        <v>0</v>
      </c>
    </row>
    <row r="149" spans="2:16">
      <c r="B149" s="9" t="str">
        <f t="shared" si="14"/>
        <v/>
      </c>
      <c r="C149" s="157">
        <f>IF(D93="","-",+C148+1)</f>
        <v>2063</v>
      </c>
      <c r="D149" s="158">
        <f>IF(F148+SUM(E$99:E148)=D$92,F148,D$92-SUM(E$99:E148))</f>
        <v>0</v>
      </c>
      <c r="E149" s="164">
        <f t="shared" si="15"/>
        <v>0</v>
      </c>
      <c r="F149" s="163">
        <f t="shared" si="16"/>
        <v>0</v>
      </c>
      <c r="G149" s="163">
        <f t="shared" si="17"/>
        <v>0</v>
      </c>
      <c r="H149" s="167">
        <f t="shared" si="18"/>
        <v>0</v>
      </c>
      <c r="I149" s="317">
        <f t="shared" si="19"/>
        <v>0</v>
      </c>
      <c r="J149" s="162">
        <f t="shared" si="20"/>
        <v>0</v>
      </c>
      <c r="K149" s="162"/>
      <c r="L149" s="335"/>
      <c r="M149" s="162">
        <f t="shared" si="24"/>
        <v>0</v>
      </c>
      <c r="N149" s="335"/>
      <c r="O149" s="162">
        <f t="shared" si="25"/>
        <v>0</v>
      </c>
      <c r="P149" s="162">
        <f t="shared" si="26"/>
        <v>0</v>
      </c>
    </row>
    <row r="150" spans="2:16">
      <c r="B150" s="9" t="str">
        <f t="shared" si="14"/>
        <v/>
      </c>
      <c r="C150" s="157">
        <f>IF(D93="","-",+C149+1)</f>
        <v>2064</v>
      </c>
      <c r="D150" s="158">
        <f>IF(F149+SUM(E$99:E149)=D$92,F149,D$92-SUM(E$99:E149))</f>
        <v>0</v>
      </c>
      <c r="E150" s="164">
        <f t="shared" si="15"/>
        <v>0</v>
      </c>
      <c r="F150" s="163">
        <f t="shared" si="16"/>
        <v>0</v>
      </c>
      <c r="G150" s="163">
        <f t="shared" si="17"/>
        <v>0</v>
      </c>
      <c r="H150" s="167">
        <f t="shared" si="18"/>
        <v>0</v>
      </c>
      <c r="I150" s="317">
        <f t="shared" si="19"/>
        <v>0</v>
      </c>
      <c r="J150" s="162">
        <f t="shared" si="20"/>
        <v>0</v>
      </c>
      <c r="K150" s="162"/>
      <c r="L150" s="335"/>
      <c r="M150" s="162">
        <f t="shared" si="24"/>
        <v>0</v>
      </c>
      <c r="N150" s="335"/>
      <c r="O150" s="162">
        <f t="shared" si="25"/>
        <v>0</v>
      </c>
      <c r="P150" s="162">
        <f t="shared" si="26"/>
        <v>0</v>
      </c>
    </row>
    <row r="151" spans="2:16">
      <c r="B151" s="9" t="str">
        <f t="shared" si="14"/>
        <v/>
      </c>
      <c r="C151" s="157">
        <f>IF(D93="","-",+C150+1)</f>
        <v>2065</v>
      </c>
      <c r="D151" s="158">
        <f>IF(F150+SUM(E$99:E150)=D$92,F150,D$92-SUM(E$99:E150))</f>
        <v>0</v>
      </c>
      <c r="E151" s="164">
        <f t="shared" si="15"/>
        <v>0</v>
      </c>
      <c r="F151" s="163">
        <f t="shared" si="16"/>
        <v>0</v>
      </c>
      <c r="G151" s="163">
        <f t="shared" si="17"/>
        <v>0</v>
      </c>
      <c r="H151" s="167">
        <f t="shared" si="18"/>
        <v>0</v>
      </c>
      <c r="I151" s="317">
        <f t="shared" si="19"/>
        <v>0</v>
      </c>
      <c r="J151" s="162">
        <f t="shared" si="20"/>
        <v>0</v>
      </c>
      <c r="K151" s="162"/>
      <c r="L151" s="335"/>
      <c r="M151" s="162">
        <f t="shared" si="24"/>
        <v>0</v>
      </c>
      <c r="N151" s="335"/>
      <c r="O151" s="162">
        <f t="shared" si="25"/>
        <v>0</v>
      </c>
      <c r="P151" s="162">
        <f t="shared" si="26"/>
        <v>0</v>
      </c>
    </row>
    <row r="152" spans="2:16">
      <c r="B152" s="9" t="str">
        <f t="shared" si="14"/>
        <v/>
      </c>
      <c r="C152" s="157">
        <f>IF(D93="","-",+C151+1)</f>
        <v>2066</v>
      </c>
      <c r="D152" s="158">
        <f>IF(F151+SUM(E$99:E151)=D$92,F151,D$92-SUM(E$99:E151))</f>
        <v>0</v>
      </c>
      <c r="E152" s="164">
        <f t="shared" si="15"/>
        <v>0</v>
      </c>
      <c r="F152" s="163">
        <f t="shared" si="16"/>
        <v>0</v>
      </c>
      <c r="G152" s="163">
        <f t="shared" si="17"/>
        <v>0</v>
      </c>
      <c r="H152" s="167">
        <f t="shared" si="18"/>
        <v>0</v>
      </c>
      <c r="I152" s="317">
        <f t="shared" si="19"/>
        <v>0</v>
      </c>
      <c r="J152" s="162">
        <f t="shared" si="20"/>
        <v>0</v>
      </c>
      <c r="K152" s="162"/>
      <c r="L152" s="335"/>
      <c r="M152" s="162">
        <f t="shared" si="24"/>
        <v>0</v>
      </c>
      <c r="N152" s="335"/>
      <c r="O152" s="162">
        <f t="shared" si="25"/>
        <v>0</v>
      </c>
      <c r="P152" s="162">
        <f t="shared" si="26"/>
        <v>0</v>
      </c>
    </row>
    <row r="153" spans="2:16">
      <c r="B153" s="9" t="str">
        <f t="shared" si="14"/>
        <v/>
      </c>
      <c r="C153" s="157">
        <f>IF(D93="","-",+C152+1)</f>
        <v>2067</v>
      </c>
      <c r="D153" s="158">
        <f>IF(F152+SUM(E$99:E152)=D$92,F152,D$92-SUM(E$99:E152))</f>
        <v>0</v>
      </c>
      <c r="E153" s="164">
        <f t="shared" si="15"/>
        <v>0</v>
      </c>
      <c r="F153" s="163">
        <f t="shared" si="16"/>
        <v>0</v>
      </c>
      <c r="G153" s="163">
        <f t="shared" si="17"/>
        <v>0</v>
      </c>
      <c r="H153" s="167">
        <f t="shared" si="18"/>
        <v>0</v>
      </c>
      <c r="I153" s="317">
        <f t="shared" si="19"/>
        <v>0</v>
      </c>
      <c r="J153" s="162">
        <f t="shared" si="20"/>
        <v>0</v>
      </c>
      <c r="K153" s="162"/>
      <c r="L153" s="335"/>
      <c r="M153" s="162">
        <f t="shared" si="24"/>
        <v>0</v>
      </c>
      <c r="N153" s="335"/>
      <c r="O153" s="162">
        <f t="shared" si="25"/>
        <v>0</v>
      </c>
      <c r="P153" s="162">
        <f t="shared" si="26"/>
        <v>0</v>
      </c>
    </row>
    <row r="154" spans="2:16" ht="13.5" thickBot="1">
      <c r="B154" s="9" t="str">
        <f t="shared" si="14"/>
        <v/>
      </c>
      <c r="C154" s="168">
        <f>IF(D93="","-",+C153+1)</f>
        <v>2068</v>
      </c>
      <c r="D154" s="158">
        <f>IF(F153+SUM(E$99:E153)=D$92,F153,D$92-SUM(E$99:E153))</f>
        <v>0</v>
      </c>
      <c r="E154" s="164">
        <f t="shared" si="15"/>
        <v>0</v>
      </c>
      <c r="F154" s="163">
        <f t="shared" si="16"/>
        <v>0</v>
      </c>
      <c r="G154" s="163">
        <f t="shared" si="17"/>
        <v>0</v>
      </c>
      <c r="H154" s="167">
        <f t="shared" si="18"/>
        <v>0</v>
      </c>
      <c r="I154" s="317">
        <f t="shared" si="19"/>
        <v>0</v>
      </c>
      <c r="J154" s="162">
        <f t="shared" si="20"/>
        <v>0</v>
      </c>
      <c r="K154" s="162"/>
      <c r="L154" s="336"/>
      <c r="M154" s="173">
        <f t="shared" si="24"/>
        <v>0</v>
      </c>
      <c r="N154" s="336"/>
      <c r="O154" s="173">
        <f t="shared" si="25"/>
        <v>0</v>
      </c>
      <c r="P154" s="173">
        <f t="shared" si="26"/>
        <v>0</v>
      </c>
    </row>
    <row r="155" spans="2:16">
      <c r="C155" s="158" t="s">
        <v>72</v>
      </c>
      <c r="D155" s="115"/>
      <c r="E155" s="115">
        <f>SUM(E99:E154)</f>
        <v>1035552</v>
      </c>
      <c r="F155" s="115"/>
      <c r="G155" s="115"/>
      <c r="H155" s="115">
        <f>SUM(H99:H154)</f>
        <v>4089098.5639759428</v>
      </c>
      <c r="I155" s="115">
        <f>SUM(I99:I154)</f>
        <v>4089098.5639759428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zoomScale="80" zoomScaleNormal="100" zoomScaleSheetLayoutView="8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15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279098.59002601594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279098.59002601594</v>
      </c>
      <c r="O6" s="1"/>
      <c r="P6" s="1"/>
    </row>
    <row r="7" spans="1:16" ht="13.5" thickBot="1">
      <c r="C7" s="127" t="s">
        <v>41</v>
      </c>
      <c r="D7" s="227" t="s">
        <v>243</v>
      </c>
      <c r="E7" s="406"/>
      <c r="F7" s="406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242</v>
      </c>
      <c r="E9" s="428" t="s">
        <v>251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2246628.5699999998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56165.714249999997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36">
        <v>2295000</v>
      </c>
      <c r="E17" s="441">
        <v>36778.846153846156</v>
      </c>
      <c r="F17" s="436">
        <v>2258221.153846154</v>
      </c>
      <c r="G17" s="441">
        <v>347642.78736560291</v>
      </c>
      <c r="H17" s="439">
        <v>347642.78736560291</v>
      </c>
      <c r="I17" s="160">
        <v>0</v>
      </c>
      <c r="J17" s="160"/>
      <c r="K17" s="338">
        <f>G17</f>
        <v>347642.78736560291</v>
      </c>
      <c r="L17" s="440">
        <f>IF(K17&lt;&gt;0,+G17-K17,0)</f>
        <v>0</v>
      </c>
      <c r="M17" s="338">
        <f>H17</f>
        <v>347642.78736560291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36">
        <v>2258221.153846154</v>
      </c>
      <c r="E18" s="437">
        <v>43204.395576923074</v>
      </c>
      <c r="F18" s="436">
        <v>2215016.7582692308</v>
      </c>
      <c r="G18" s="437">
        <v>348592.42580485216</v>
      </c>
      <c r="H18" s="439">
        <v>348592.42580485216</v>
      </c>
      <c r="I18" s="160">
        <v>0</v>
      </c>
      <c r="J18" s="160"/>
      <c r="K18" s="338">
        <f>G18</f>
        <v>348592.42580485216</v>
      </c>
      <c r="L18" s="440">
        <f>IF(K18&lt;&gt;0,+G18-K18,0)</f>
        <v>0</v>
      </c>
      <c r="M18" s="338">
        <f>H18</f>
        <v>348592.42580485216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36">
        <v>2166645.3282692307</v>
      </c>
      <c r="E19" s="437">
        <v>43204.395576923074</v>
      </c>
      <c r="F19" s="436">
        <v>2123440.9326923075</v>
      </c>
      <c r="G19" s="437">
        <v>321714.3955769231</v>
      </c>
      <c r="H19" s="439">
        <v>321714.3955769231</v>
      </c>
      <c r="I19" s="160">
        <f>H19-G19</f>
        <v>0</v>
      </c>
      <c r="J19" s="160"/>
      <c r="K19" s="338">
        <f>G19</f>
        <v>321714.3955769231</v>
      </c>
      <c r="L19" s="440">
        <f>IF(K19&lt;&gt;0,+G19-K19,0)</f>
        <v>0</v>
      </c>
      <c r="M19" s="338">
        <f>H19</f>
        <v>321714.3955769231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2017</v>
      </c>
      <c r="D20" s="436">
        <v>2123440.9326923075</v>
      </c>
      <c r="E20" s="437">
        <v>48839.751521739126</v>
      </c>
      <c r="F20" s="436">
        <v>2074601.1811705683</v>
      </c>
      <c r="G20" s="437">
        <v>312854.75152173912</v>
      </c>
      <c r="H20" s="439">
        <v>312854.75152173912</v>
      </c>
      <c r="I20" s="160">
        <v>0</v>
      </c>
      <c r="J20" s="160"/>
      <c r="K20" s="338">
        <f>G20</f>
        <v>312854.75152173912</v>
      </c>
      <c r="L20" s="440">
        <f>IF(K20&lt;&gt;0,+G20-K20,0)</f>
        <v>0</v>
      </c>
      <c r="M20" s="338">
        <f>H20</f>
        <v>312854.75152173912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36">
        <v>2074601.1811705683</v>
      </c>
      <c r="E21" s="437">
        <v>49925.079333333328</v>
      </c>
      <c r="F21" s="436">
        <v>2024676.101837235</v>
      </c>
      <c r="G21" s="437">
        <v>295387.63187355472</v>
      </c>
      <c r="H21" s="439">
        <v>295387.63187355472</v>
      </c>
      <c r="I21" s="160">
        <f t="shared" ref="I21:I72" si="1">H21-G21</f>
        <v>0</v>
      </c>
      <c r="J21" s="160"/>
      <c r="K21" s="338">
        <f>G21</f>
        <v>295387.63187355472</v>
      </c>
      <c r="L21" s="440">
        <f>IF(K21&lt;&gt;0,+G21-K21,0)</f>
        <v>0</v>
      </c>
      <c r="M21" s="338">
        <f>H21</f>
        <v>295387.63187355472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2024676.101837235</v>
      </c>
      <c r="E22" s="164">
        <f t="shared" ref="E22:E72" si="2">IF(+$I$14&lt;F21,$I$14,D22)</f>
        <v>56165.714249999997</v>
      </c>
      <c r="F22" s="163">
        <f t="shared" ref="F22:F72" si="3">+D22-E22</f>
        <v>1968510.3875872351</v>
      </c>
      <c r="G22" s="165">
        <f t="shared" ref="G22:G72" si="4">(D22+F22)/2*I$12+E22</f>
        <v>279098.59002601594</v>
      </c>
      <c r="H22" s="147">
        <f t="shared" ref="H22:H72" si="5">+(D22+F22)/2*I$13+E22</f>
        <v>279098.59002601594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1968510.3875872351</v>
      </c>
      <c r="E23" s="164">
        <f t="shared" si="2"/>
        <v>56165.714249999997</v>
      </c>
      <c r="F23" s="163">
        <f t="shared" si="3"/>
        <v>1912344.6733372351</v>
      </c>
      <c r="G23" s="165">
        <f t="shared" si="4"/>
        <v>272827.31557844009</v>
      </c>
      <c r="H23" s="147">
        <f t="shared" si="5"/>
        <v>272827.31557844009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1912344.6733372351</v>
      </c>
      <c r="E24" s="164">
        <f t="shared" si="2"/>
        <v>56165.714249999997</v>
      </c>
      <c r="F24" s="163">
        <f t="shared" si="3"/>
        <v>1856178.9590872352</v>
      </c>
      <c r="G24" s="165">
        <f t="shared" si="4"/>
        <v>266556.04113086418</v>
      </c>
      <c r="H24" s="147">
        <f t="shared" si="5"/>
        <v>266556.04113086418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1856178.9590872352</v>
      </c>
      <c r="E25" s="164">
        <f t="shared" si="2"/>
        <v>56165.714249999997</v>
      </c>
      <c r="F25" s="163">
        <f t="shared" si="3"/>
        <v>1800013.2448372352</v>
      </c>
      <c r="G25" s="165">
        <f t="shared" si="4"/>
        <v>260284.76668328833</v>
      </c>
      <c r="H25" s="147">
        <f t="shared" si="5"/>
        <v>260284.76668328833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1800013.2448372352</v>
      </c>
      <c r="E26" s="164">
        <f t="shared" si="2"/>
        <v>56165.714249999997</v>
      </c>
      <c r="F26" s="163">
        <f t="shared" si="3"/>
        <v>1743847.5305872352</v>
      </c>
      <c r="G26" s="165">
        <f t="shared" si="4"/>
        <v>254013.49223571245</v>
      </c>
      <c r="H26" s="147">
        <f t="shared" si="5"/>
        <v>254013.49223571245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1743847.5305872352</v>
      </c>
      <c r="E27" s="164">
        <f t="shared" si="2"/>
        <v>56165.714249999997</v>
      </c>
      <c r="F27" s="163">
        <f t="shared" si="3"/>
        <v>1687681.8163372353</v>
      </c>
      <c r="G27" s="165">
        <f t="shared" si="4"/>
        <v>247742.21778813659</v>
      </c>
      <c r="H27" s="147">
        <f t="shared" si="5"/>
        <v>247742.21778813659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1687681.8163372353</v>
      </c>
      <c r="E28" s="164">
        <f t="shared" si="2"/>
        <v>56165.714249999997</v>
      </c>
      <c r="F28" s="163">
        <f t="shared" si="3"/>
        <v>1631516.1020872353</v>
      </c>
      <c r="G28" s="165">
        <f t="shared" si="4"/>
        <v>241470.94334056068</v>
      </c>
      <c r="H28" s="147">
        <f t="shared" si="5"/>
        <v>241470.94334056068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1631516.1020872353</v>
      </c>
      <c r="E29" s="164">
        <f t="shared" si="2"/>
        <v>56165.714249999997</v>
      </c>
      <c r="F29" s="163">
        <f t="shared" si="3"/>
        <v>1575350.3878372354</v>
      </c>
      <c r="G29" s="165">
        <f t="shared" si="4"/>
        <v>235199.66889298483</v>
      </c>
      <c r="H29" s="147">
        <f t="shared" si="5"/>
        <v>235199.66889298483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1575350.3878372354</v>
      </c>
      <c r="E30" s="164">
        <f t="shared" si="2"/>
        <v>56165.714249999997</v>
      </c>
      <c r="F30" s="163">
        <f t="shared" si="3"/>
        <v>1519184.6735872354</v>
      </c>
      <c r="G30" s="165">
        <f t="shared" si="4"/>
        <v>228928.39444540892</v>
      </c>
      <c r="H30" s="147">
        <f t="shared" si="5"/>
        <v>228928.39444540892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1519184.6735872354</v>
      </c>
      <c r="E31" s="164">
        <f t="shared" si="2"/>
        <v>56165.714249999997</v>
      </c>
      <c r="F31" s="163">
        <f t="shared" si="3"/>
        <v>1463018.9593372354</v>
      </c>
      <c r="G31" s="165">
        <f t="shared" si="4"/>
        <v>222657.11999783307</v>
      </c>
      <c r="H31" s="147">
        <f t="shared" si="5"/>
        <v>222657.11999783307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1463018.9593372354</v>
      </c>
      <c r="E32" s="164">
        <f t="shared" si="2"/>
        <v>56165.714249999997</v>
      </c>
      <c r="F32" s="163">
        <f t="shared" si="3"/>
        <v>1406853.2450872355</v>
      </c>
      <c r="G32" s="165">
        <f t="shared" si="4"/>
        <v>216385.84555025716</v>
      </c>
      <c r="H32" s="147">
        <f t="shared" si="5"/>
        <v>216385.84555025716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1406853.2450872355</v>
      </c>
      <c r="E33" s="164">
        <f t="shared" si="2"/>
        <v>56165.714249999997</v>
      </c>
      <c r="F33" s="163">
        <f t="shared" si="3"/>
        <v>1350687.5308372355</v>
      </c>
      <c r="G33" s="165">
        <f t="shared" si="4"/>
        <v>210114.57110268131</v>
      </c>
      <c r="H33" s="147">
        <f t="shared" si="5"/>
        <v>210114.57110268131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1350687.5308372355</v>
      </c>
      <c r="E34" s="164">
        <f t="shared" si="2"/>
        <v>56165.714249999997</v>
      </c>
      <c r="F34" s="163">
        <f t="shared" si="3"/>
        <v>1294521.8165872355</v>
      </c>
      <c r="G34" s="165">
        <f t="shared" si="4"/>
        <v>203843.29665510543</v>
      </c>
      <c r="H34" s="147">
        <f t="shared" si="5"/>
        <v>203843.29665510543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1294521.8165872355</v>
      </c>
      <c r="E35" s="164">
        <f t="shared" si="2"/>
        <v>56165.714249999997</v>
      </c>
      <c r="F35" s="163">
        <f t="shared" si="3"/>
        <v>1238356.1023372356</v>
      </c>
      <c r="G35" s="165">
        <f t="shared" si="4"/>
        <v>197572.02220752958</v>
      </c>
      <c r="H35" s="147">
        <f t="shared" si="5"/>
        <v>197572.02220752958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1238356.1023372356</v>
      </c>
      <c r="E36" s="164">
        <f t="shared" si="2"/>
        <v>56165.714249999997</v>
      </c>
      <c r="F36" s="163">
        <f t="shared" si="3"/>
        <v>1182190.3880872356</v>
      </c>
      <c r="G36" s="165">
        <f t="shared" si="4"/>
        <v>191300.74775995367</v>
      </c>
      <c r="H36" s="147">
        <f t="shared" si="5"/>
        <v>191300.74775995367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1182190.3880872356</v>
      </c>
      <c r="E37" s="164">
        <f t="shared" si="2"/>
        <v>56165.714249999997</v>
      </c>
      <c r="F37" s="163">
        <f t="shared" si="3"/>
        <v>1126024.6738372357</v>
      </c>
      <c r="G37" s="165">
        <f t="shared" si="4"/>
        <v>185029.47331237781</v>
      </c>
      <c r="H37" s="147">
        <f t="shared" si="5"/>
        <v>185029.47331237781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1126024.6738372357</v>
      </c>
      <c r="E38" s="164">
        <f t="shared" si="2"/>
        <v>56165.714249999997</v>
      </c>
      <c r="F38" s="163">
        <f t="shared" si="3"/>
        <v>1069858.9595872357</v>
      </c>
      <c r="G38" s="165">
        <f t="shared" si="4"/>
        <v>178758.1988648019</v>
      </c>
      <c r="H38" s="147">
        <f t="shared" si="5"/>
        <v>178758.1988648019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1069858.9595872357</v>
      </c>
      <c r="E39" s="164">
        <f t="shared" si="2"/>
        <v>56165.714249999997</v>
      </c>
      <c r="F39" s="163">
        <f t="shared" si="3"/>
        <v>1013693.2453372357</v>
      </c>
      <c r="G39" s="165">
        <f t="shared" si="4"/>
        <v>172486.92441722605</v>
      </c>
      <c r="H39" s="147">
        <f t="shared" si="5"/>
        <v>172486.92441722605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1013693.2453372357</v>
      </c>
      <c r="E40" s="164">
        <f t="shared" si="2"/>
        <v>56165.714249999997</v>
      </c>
      <c r="F40" s="163">
        <f t="shared" si="3"/>
        <v>957527.53108723578</v>
      </c>
      <c r="G40" s="165">
        <f t="shared" si="4"/>
        <v>166215.64996965017</v>
      </c>
      <c r="H40" s="147">
        <f t="shared" si="5"/>
        <v>166215.64996965017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957527.53108723578</v>
      </c>
      <c r="E41" s="164">
        <f t="shared" si="2"/>
        <v>56165.714249999997</v>
      </c>
      <c r="F41" s="163">
        <f t="shared" si="3"/>
        <v>901361.81683723582</v>
      </c>
      <c r="G41" s="165">
        <f t="shared" si="4"/>
        <v>159944.37552207429</v>
      </c>
      <c r="H41" s="147">
        <f t="shared" si="5"/>
        <v>159944.37552207429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901361.81683723582</v>
      </c>
      <c r="E42" s="164">
        <f t="shared" si="2"/>
        <v>56165.714249999997</v>
      </c>
      <c r="F42" s="163">
        <f t="shared" si="3"/>
        <v>845196.10258723586</v>
      </c>
      <c r="G42" s="165">
        <f t="shared" si="4"/>
        <v>153673.10107449841</v>
      </c>
      <c r="H42" s="147">
        <f t="shared" si="5"/>
        <v>153673.10107449841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845196.10258723586</v>
      </c>
      <c r="E43" s="164">
        <f t="shared" si="2"/>
        <v>56165.714249999997</v>
      </c>
      <c r="F43" s="163">
        <f t="shared" si="3"/>
        <v>789030.3883372359</v>
      </c>
      <c r="G43" s="165">
        <f t="shared" si="4"/>
        <v>147401.82662692253</v>
      </c>
      <c r="H43" s="147">
        <f t="shared" si="5"/>
        <v>147401.82662692253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789030.3883372359</v>
      </c>
      <c r="E44" s="164">
        <f t="shared" si="2"/>
        <v>56165.714249999997</v>
      </c>
      <c r="F44" s="163">
        <f t="shared" si="3"/>
        <v>732864.67408723594</v>
      </c>
      <c r="G44" s="165">
        <f t="shared" si="4"/>
        <v>141130.55217934665</v>
      </c>
      <c r="H44" s="147">
        <f t="shared" si="5"/>
        <v>141130.55217934665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732864.67408723594</v>
      </c>
      <c r="E45" s="164">
        <f t="shared" si="2"/>
        <v>56165.714249999997</v>
      </c>
      <c r="F45" s="163">
        <f t="shared" si="3"/>
        <v>676698.95983723598</v>
      </c>
      <c r="G45" s="165">
        <f t="shared" si="4"/>
        <v>134859.27773177077</v>
      </c>
      <c r="H45" s="147">
        <f t="shared" si="5"/>
        <v>134859.27773177077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676698.95983723598</v>
      </c>
      <c r="E46" s="164">
        <f t="shared" si="2"/>
        <v>56165.714249999997</v>
      </c>
      <c r="F46" s="163">
        <f t="shared" si="3"/>
        <v>620533.24558723602</v>
      </c>
      <c r="G46" s="165">
        <f t="shared" si="4"/>
        <v>128588.00328419491</v>
      </c>
      <c r="H46" s="147">
        <f t="shared" si="5"/>
        <v>128588.00328419491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620533.24558723602</v>
      </c>
      <c r="E47" s="164">
        <f t="shared" si="2"/>
        <v>56165.714249999997</v>
      </c>
      <c r="F47" s="163">
        <f t="shared" si="3"/>
        <v>564367.53133723605</v>
      </c>
      <c r="G47" s="165">
        <f t="shared" si="4"/>
        <v>122316.72883661903</v>
      </c>
      <c r="H47" s="147">
        <f t="shared" si="5"/>
        <v>122316.72883661903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564367.53133723605</v>
      </c>
      <c r="E48" s="164">
        <f t="shared" si="2"/>
        <v>56165.714249999997</v>
      </c>
      <c r="F48" s="163">
        <f t="shared" si="3"/>
        <v>508201.81708723604</v>
      </c>
      <c r="G48" s="165">
        <f t="shared" si="4"/>
        <v>116045.45438904315</v>
      </c>
      <c r="H48" s="147">
        <f t="shared" si="5"/>
        <v>116045.45438904315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508201.81708723604</v>
      </c>
      <c r="E49" s="164">
        <f t="shared" si="2"/>
        <v>56165.714249999997</v>
      </c>
      <c r="F49" s="163">
        <f t="shared" si="3"/>
        <v>452036.10283723602</v>
      </c>
      <c r="G49" s="165">
        <f t="shared" si="4"/>
        <v>109774.17994146726</v>
      </c>
      <c r="H49" s="147">
        <f t="shared" si="5"/>
        <v>109774.17994146726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452036.10283723602</v>
      </c>
      <c r="E50" s="164">
        <f t="shared" si="2"/>
        <v>56165.714249999997</v>
      </c>
      <c r="F50" s="163">
        <f t="shared" si="3"/>
        <v>395870.388587236</v>
      </c>
      <c r="G50" s="165">
        <f t="shared" si="4"/>
        <v>103502.90549389138</v>
      </c>
      <c r="H50" s="147">
        <f t="shared" si="5"/>
        <v>103502.90549389138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395870.388587236</v>
      </c>
      <c r="E51" s="164">
        <f t="shared" si="2"/>
        <v>56165.714249999997</v>
      </c>
      <c r="F51" s="163">
        <f t="shared" si="3"/>
        <v>339704.67433723598</v>
      </c>
      <c r="G51" s="165">
        <f t="shared" si="4"/>
        <v>97231.63104631548</v>
      </c>
      <c r="H51" s="147">
        <f t="shared" si="5"/>
        <v>97231.63104631548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339704.67433723598</v>
      </c>
      <c r="E52" s="164">
        <f t="shared" si="2"/>
        <v>56165.714249999997</v>
      </c>
      <c r="F52" s="163">
        <f t="shared" si="3"/>
        <v>283538.96008723596</v>
      </c>
      <c r="G52" s="165">
        <f t="shared" si="4"/>
        <v>90960.3565987396</v>
      </c>
      <c r="H52" s="147">
        <f t="shared" si="5"/>
        <v>90960.3565987396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283538.96008723596</v>
      </c>
      <c r="E53" s="164">
        <f t="shared" si="2"/>
        <v>56165.714249999997</v>
      </c>
      <c r="F53" s="163">
        <f t="shared" si="3"/>
        <v>227373.24583723597</v>
      </c>
      <c r="G53" s="165">
        <f t="shared" si="4"/>
        <v>84689.082151163719</v>
      </c>
      <c r="H53" s="147">
        <f t="shared" si="5"/>
        <v>84689.082151163719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227373.24583723597</v>
      </c>
      <c r="E54" s="164">
        <f t="shared" si="2"/>
        <v>56165.714249999997</v>
      </c>
      <c r="F54" s="163">
        <f t="shared" si="3"/>
        <v>171207.53158723598</v>
      </c>
      <c r="G54" s="165">
        <f t="shared" si="4"/>
        <v>78417.807703587838</v>
      </c>
      <c r="H54" s="147">
        <f t="shared" si="5"/>
        <v>78417.807703587838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171207.53158723598</v>
      </c>
      <c r="E55" s="164">
        <f t="shared" si="2"/>
        <v>56165.714249999997</v>
      </c>
      <c r="F55" s="163">
        <f t="shared" si="3"/>
        <v>115041.81733723599</v>
      </c>
      <c r="G55" s="165">
        <f t="shared" si="4"/>
        <v>72146.533256011957</v>
      </c>
      <c r="H55" s="147">
        <f t="shared" si="5"/>
        <v>72146.533256011957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115041.81733723599</v>
      </c>
      <c r="E56" s="164">
        <f t="shared" si="2"/>
        <v>56165.714249999997</v>
      </c>
      <c r="F56" s="163">
        <f t="shared" si="3"/>
        <v>58876.103087235992</v>
      </c>
      <c r="G56" s="165">
        <f t="shared" si="4"/>
        <v>65875.258808436076</v>
      </c>
      <c r="H56" s="147">
        <f t="shared" si="5"/>
        <v>65875.258808436076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58876.103087235992</v>
      </c>
      <c r="E57" s="164">
        <f t="shared" si="2"/>
        <v>56165.714249999997</v>
      </c>
      <c r="F57" s="163">
        <f t="shared" si="3"/>
        <v>2710.3888372359943</v>
      </c>
      <c r="G57" s="165">
        <f t="shared" si="4"/>
        <v>59603.984360860195</v>
      </c>
      <c r="H57" s="147">
        <f t="shared" si="5"/>
        <v>59603.984360860195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2710.3888372359943</v>
      </c>
      <c r="E58" s="164">
        <f t="shared" si="2"/>
        <v>2710.3888372359943</v>
      </c>
      <c r="F58" s="163">
        <f t="shared" si="3"/>
        <v>0</v>
      </c>
      <c r="G58" s="165">
        <f t="shared" si="4"/>
        <v>2861.7052807721238</v>
      </c>
      <c r="H58" s="147">
        <f t="shared" si="5"/>
        <v>2861.7052807721238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0</v>
      </c>
      <c r="E59" s="164">
        <f t="shared" si="2"/>
        <v>0</v>
      </c>
      <c r="F59" s="163">
        <f t="shared" si="3"/>
        <v>0</v>
      </c>
      <c r="G59" s="165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2"/>
        <v>0</v>
      </c>
      <c r="F60" s="163">
        <f t="shared" si="3"/>
        <v>0</v>
      </c>
      <c r="G60" s="165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2"/>
        <v>0</v>
      </c>
      <c r="F61" s="163">
        <f t="shared" si="3"/>
        <v>0</v>
      </c>
      <c r="G61" s="165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2"/>
        <v>0</v>
      </c>
      <c r="F62" s="163">
        <f t="shared" si="3"/>
        <v>0</v>
      </c>
      <c r="G62" s="165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377">
        <f t="shared" si="4"/>
        <v>0</v>
      </c>
      <c r="H72" s="130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2246628.5700000003</v>
      </c>
      <c r="F73" s="115"/>
      <c r="G73" s="115">
        <f>SUM(G17:G72)</f>
        <v>7725700.0363872154</v>
      </c>
      <c r="H73" s="115">
        <f>SUM(H17:H72)</f>
        <v>7725700.0363872154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15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312854.75152173912</v>
      </c>
      <c r="N87" s="202">
        <f>IF(J92&lt;D11,0,VLOOKUP(J92,C17:O72,11))</f>
        <v>312854.75152173912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314489.63330060086</v>
      </c>
      <c r="N88" s="204">
        <f>IF(J92&lt;D11,0,VLOOKUP(J92,C99:P154,7))</f>
        <v>314489.63330060086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Locust Grove to Lone Star 115 kV Rebuild 2.1 miles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1634.8817788617453</v>
      </c>
      <c r="N89" s="207">
        <f>+N88-N87</f>
        <v>1634.8817788617453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TP2009093</v>
      </c>
      <c r="E91" s="210" t="str">
        <f>E9</f>
        <v xml:space="preserve">  SPP Project ID = 649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2246628.5699999998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460" t="s">
        <v>263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+D12</f>
        <v>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48840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 t="str">
        <f>IF(D93= "","-",D93)</f>
        <v>2014</v>
      </c>
      <c r="D99" s="436">
        <v>0</v>
      </c>
      <c r="E99" s="437">
        <v>36003.333333333336</v>
      </c>
      <c r="F99" s="438">
        <v>2210625.2366666663</v>
      </c>
      <c r="G99" s="448">
        <v>1105312.6183333332</v>
      </c>
      <c r="H99" s="449">
        <v>191405.76922123961</v>
      </c>
      <c r="I99" s="450">
        <v>191405.76922123961</v>
      </c>
      <c r="J99" s="162">
        <v>0</v>
      </c>
      <c r="K99" s="162"/>
      <c r="L99" s="338">
        <f>H99</f>
        <v>191405.76922123961</v>
      </c>
      <c r="M99" s="175">
        <f>IF(L99&lt;&gt;0,+H99-L99,0)</f>
        <v>0</v>
      </c>
      <c r="N99" s="338">
        <f>I99</f>
        <v>191405.76922123961</v>
      </c>
      <c r="O99" s="160">
        <f>IF(N99&lt;&gt;0,+I99-N99,0)</f>
        <v>0</v>
      </c>
      <c r="P99" s="162">
        <f>+O99-M99</f>
        <v>0</v>
      </c>
    </row>
    <row r="100" spans="1:16" ht="13.5" thickBot="1">
      <c r="B100" s="9" t="str">
        <f>IF(D100=F99,"","IU")</f>
        <v/>
      </c>
      <c r="C100" s="157">
        <f>IF(D93="","-",+C99+1)</f>
        <v>2015</v>
      </c>
      <c r="D100" s="436">
        <v>2210625.2366666663</v>
      </c>
      <c r="E100" s="437">
        <v>43204</v>
      </c>
      <c r="F100" s="438">
        <v>2167421.2366666663</v>
      </c>
      <c r="G100" s="448">
        <v>2189023.2366666663</v>
      </c>
      <c r="H100" s="449">
        <v>341878.62002899748</v>
      </c>
      <c r="I100" s="450">
        <v>341878.62002899748</v>
      </c>
      <c r="J100" s="162">
        <f>+I100-H100</f>
        <v>0</v>
      </c>
      <c r="K100" s="162"/>
      <c r="L100" s="338">
        <f>H100</f>
        <v>341878.62002899748</v>
      </c>
      <c r="M100" s="175">
        <f>IF(L100&lt;&gt;0,+H100-L100,0)</f>
        <v>0</v>
      </c>
      <c r="N100" s="338">
        <f>I100</f>
        <v>341878.62002899748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/>
      </c>
      <c r="C101" s="157">
        <f>IF(D93="","-",+C100+1)</f>
        <v>2016</v>
      </c>
      <c r="D101" s="436">
        <v>2167421.2366666663</v>
      </c>
      <c r="E101" s="437">
        <v>48840</v>
      </c>
      <c r="F101" s="438">
        <v>2118581.2366666663</v>
      </c>
      <c r="G101" s="448">
        <v>2143001.2366666663</v>
      </c>
      <c r="H101" s="449">
        <v>325106.60926354182</v>
      </c>
      <c r="I101" s="450">
        <v>325106.60926354182</v>
      </c>
      <c r="J101" s="162">
        <v>0</v>
      </c>
      <c r="K101" s="162"/>
      <c r="L101" s="338">
        <f>H101</f>
        <v>325106.60926354182</v>
      </c>
      <c r="M101" s="175">
        <f>IF(L101&lt;&gt;0,+H101-L101,0)</f>
        <v>0</v>
      </c>
      <c r="N101" s="338">
        <f>I101</f>
        <v>325106.60926354182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158">
        <f>IF(F101+SUM(E$99:E101)=D$92,F101,D$92-SUM(E$99:E101))</f>
        <v>2118581.2366666663</v>
      </c>
      <c r="E102" s="164">
        <f t="shared" ref="E102:E154" si="10">IF(+J$96&lt;F101,J$96,D102)</f>
        <v>48840</v>
      </c>
      <c r="F102" s="163">
        <f t="shared" ref="F102:F154" si="11">+D102-E102</f>
        <v>2069741.2366666663</v>
      </c>
      <c r="G102" s="163">
        <f t="shared" ref="G102:G154" si="12">+(F102+D102)/2</f>
        <v>2094161.2366666663</v>
      </c>
      <c r="H102" s="167">
        <f t="shared" ref="H102:H154" si="13">+J$94*G102+E102</f>
        <v>314489.63330060086</v>
      </c>
      <c r="I102" s="317">
        <f t="shared" ref="I102:I154" si="14">+J$95*G102+E102</f>
        <v>314489.63330060086</v>
      </c>
      <c r="J102" s="162">
        <f t="shared" ref="J102:J154" si="15">+I102-H102</f>
        <v>0</v>
      </c>
      <c r="K102" s="162"/>
      <c r="L102" s="335"/>
      <c r="M102" s="162">
        <f t="shared" ref="M102:M130" si="16">IF(L102&lt;&gt;0,+H102-L102,0)</f>
        <v>0</v>
      </c>
      <c r="N102" s="335"/>
      <c r="O102" s="162">
        <f t="shared" ref="O102:O130" si="17">IF(N102&lt;&gt;0,+I102-N102,0)</f>
        <v>0</v>
      </c>
      <c r="P102" s="162">
        <f t="shared" ref="P102:P130" si="18"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2069741.2366666663</v>
      </c>
      <c r="E103" s="164">
        <f t="shared" si="10"/>
        <v>48840</v>
      </c>
      <c r="F103" s="163">
        <f t="shared" si="11"/>
        <v>2020901.2366666663</v>
      </c>
      <c r="G103" s="163">
        <f t="shared" si="12"/>
        <v>2045321.2366666663</v>
      </c>
      <c r="H103" s="167">
        <f t="shared" si="13"/>
        <v>308294.15615049715</v>
      </c>
      <c r="I103" s="317">
        <f t="shared" si="14"/>
        <v>308294.15615049715</v>
      </c>
      <c r="J103" s="162">
        <f t="shared" si="15"/>
        <v>0</v>
      </c>
      <c r="K103" s="162"/>
      <c r="L103" s="335"/>
      <c r="M103" s="162">
        <f t="shared" si="16"/>
        <v>0</v>
      </c>
      <c r="N103" s="335"/>
      <c r="O103" s="162">
        <f t="shared" si="17"/>
        <v>0</v>
      </c>
      <c r="P103" s="162">
        <f t="shared" si="18"/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2020901.2366666663</v>
      </c>
      <c r="E104" s="164">
        <f t="shared" si="10"/>
        <v>48840</v>
      </c>
      <c r="F104" s="163">
        <f t="shared" si="11"/>
        <v>1972061.2366666663</v>
      </c>
      <c r="G104" s="163">
        <f t="shared" si="12"/>
        <v>1996481.2366666663</v>
      </c>
      <c r="H104" s="167">
        <f t="shared" si="13"/>
        <v>302098.67900039337</v>
      </c>
      <c r="I104" s="317">
        <f t="shared" si="14"/>
        <v>302098.67900039337</v>
      </c>
      <c r="J104" s="162">
        <f t="shared" si="15"/>
        <v>0</v>
      </c>
      <c r="K104" s="162"/>
      <c r="L104" s="335"/>
      <c r="M104" s="162">
        <f t="shared" si="16"/>
        <v>0</v>
      </c>
      <c r="N104" s="335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1972061.2366666663</v>
      </c>
      <c r="E105" s="164">
        <f t="shared" si="10"/>
        <v>48840</v>
      </c>
      <c r="F105" s="163">
        <f t="shared" si="11"/>
        <v>1923221.2366666663</v>
      </c>
      <c r="G105" s="163">
        <f t="shared" si="12"/>
        <v>1947641.2366666663</v>
      </c>
      <c r="H105" s="167">
        <f t="shared" si="13"/>
        <v>295903.2018502896</v>
      </c>
      <c r="I105" s="317">
        <f t="shared" si="14"/>
        <v>295903.2018502896</v>
      </c>
      <c r="J105" s="162">
        <f t="shared" si="15"/>
        <v>0</v>
      </c>
      <c r="K105" s="162"/>
      <c r="L105" s="335"/>
      <c r="M105" s="162">
        <f t="shared" si="16"/>
        <v>0</v>
      </c>
      <c r="N105" s="335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1923221.2366666663</v>
      </c>
      <c r="E106" s="164">
        <f t="shared" si="10"/>
        <v>48840</v>
      </c>
      <c r="F106" s="163">
        <f t="shared" si="11"/>
        <v>1874381.2366666663</v>
      </c>
      <c r="G106" s="163">
        <f t="shared" si="12"/>
        <v>1898801.2366666663</v>
      </c>
      <c r="H106" s="167">
        <f t="shared" si="13"/>
        <v>289707.72470018588</v>
      </c>
      <c r="I106" s="317">
        <f t="shared" si="14"/>
        <v>289707.72470018588</v>
      </c>
      <c r="J106" s="162">
        <f t="shared" si="15"/>
        <v>0</v>
      </c>
      <c r="K106" s="162"/>
      <c r="L106" s="335"/>
      <c r="M106" s="162">
        <f t="shared" si="16"/>
        <v>0</v>
      </c>
      <c r="N106" s="335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1874381.2366666663</v>
      </c>
      <c r="E107" s="164">
        <f t="shared" si="10"/>
        <v>48840</v>
      </c>
      <c r="F107" s="163">
        <f t="shared" si="11"/>
        <v>1825541.2366666663</v>
      </c>
      <c r="G107" s="163">
        <f t="shared" si="12"/>
        <v>1849961.2366666663</v>
      </c>
      <c r="H107" s="167">
        <f t="shared" si="13"/>
        <v>283512.2475500821</v>
      </c>
      <c r="I107" s="317">
        <f t="shared" si="14"/>
        <v>283512.2475500821</v>
      </c>
      <c r="J107" s="162">
        <f t="shared" si="15"/>
        <v>0</v>
      </c>
      <c r="K107" s="162"/>
      <c r="L107" s="335"/>
      <c r="M107" s="162">
        <f t="shared" si="16"/>
        <v>0</v>
      </c>
      <c r="N107" s="335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1825541.2366666663</v>
      </c>
      <c r="E108" s="164">
        <f t="shared" si="10"/>
        <v>48840</v>
      </c>
      <c r="F108" s="163">
        <f t="shared" si="11"/>
        <v>1776701.2366666663</v>
      </c>
      <c r="G108" s="163">
        <f t="shared" si="12"/>
        <v>1801121.2366666663</v>
      </c>
      <c r="H108" s="167">
        <f t="shared" si="13"/>
        <v>277316.77039997838</v>
      </c>
      <c r="I108" s="317">
        <f t="shared" si="14"/>
        <v>277316.77039997838</v>
      </c>
      <c r="J108" s="162">
        <f t="shared" si="15"/>
        <v>0</v>
      </c>
      <c r="K108" s="162"/>
      <c r="L108" s="335"/>
      <c r="M108" s="162">
        <f t="shared" si="16"/>
        <v>0</v>
      </c>
      <c r="N108" s="335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1776701.2366666663</v>
      </c>
      <c r="E109" s="164">
        <f t="shared" si="10"/>
        <v>48840</v>
      </c>
      <c r="F109" s="163">
        <f t="shared" si="11"/>
        <v>1727861.2366666663</v>
      </c>
      <c r="G109" s="163">
        <f t="shared" si="12"/>
        <v>1752281.2366666663</v>
      </c>
      <c r="H109" s="167">
        <f t="shared" si="13"/>
        <v>271121.29324987461</v>
      </c>
      <c r="I109" s="317">
        <f t="shared" si="14"/>
        <v>271121.29324987461</v>
      </c>
      <c r="J109" s="162">
        <f t="shared" si="15"/>
        <v>0</v>
      </c>
      <c r="K109" s="162"/>
      <c r="L109" s="335"/>
      <c r="M109" s="162">
        <f t="shared" si="16"/>
        <v>0</v>
      </c>
      <c r="N109" s="335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1727861.2366666663</v>
      </c>
      <c r="E110" s="164">
        <f t="shared" si="10"/>
        <v>48840</v>
      </c>
      <c r="F110" s="163">
        <f t="shared" si="11"/>
        <v>1679021.2366666663</v>
      </c>
      <c r="G110" s="163">
        <f t="shared" si="12"/>
        <v>1703441.2366666663</v>
      </c>
      <c r="H110" s="167">
        <f t="shared" si="13"/>
        <v>264925.81609977083</v>
      </c>
      <c r="I110" s="317">
        <f t="shared" si="14"/>
        <v>264925.81609977083</v>
      </c>
      <c r="J110" s="162">
        <f t="shared" si="15"/>
        <v>0</v>
      </c>
      <c r="K110" s="162"/>
      <c r="L110" s="335"/>
      <c r="M110" s="162">
        <f t="shared" si="16"/>
        <v>0</v>
      </c>
      <c r="N110" s="335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1679021.2366666663</v>
      </c>
      <c r="E111" s="164">
        <f t="shared" si="10"/>
        <v>48840</v>
      </c>
      <c r="F111" s="163">
        <f t="shared" si="11"/>
        <v>1630181.2366666663</v>
      </c>
      <c r="G111" s="163">
        <f t="shared" si="12"/>
        <v>1654601.2366666663</v>
      </c>
      <c r="H111" s="167">
        <f t="shared" si="13"/>
        <v>258730.33894966712</v>
      </c>
      <c r="I111" s="317">
        <f t="shared" si="14"/>
        <v>258730.33894966712</v>
      </c>
      <c r="J111" s="162">
        <f t="shared" si="15"/>
        <v>0</v>
      </c>
      <c r="K111" s="162"/>
      <c r="L111" s="335"/>
      <c r="M111" s="162">
        <f t="shared" si="16"/>
        <v>0</v>
      </c>
      <c r="N111" s="335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1630181.2366666663</v>
      </c>
      <c r="E112" s="164">
        <f t="shared" si="10"/>
        <v>48840</v>
      </c>
      <c r="F112" s="163">
        <f t="shared" si="11"/>
        <v>1581341.2366666663</v>
      </c>
      <c r="G112" s="163">
        <f t="shared" si="12"/>
        <v>1605761.2366666663</v>
      </c>
      <c r="H112" s="167">
        <f t="shared" si="13"/>
        <v>252534.86179956337</v>
      </c>
      <c r="I112" s="317">
        <f t="shared" si="14"/>
        <v>252534.86179956337</v>
      </c>
      <c r="J112" s="162">
        <f t="shared" si="15"/>
        <v>0</v>
      </c>
      <c r="K112" s="162"/>
      <c r="L112" s="335"/>
      <c r="M112" s="162">
        <f t="shared" si="16"/>
        <v>0</v>
      </c>
      <c r="N112" s="335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1581341.2366666663</v>
      </c>
      <c r="E113" s="164">
        <f t="shared" si="10"/>
        <v>48840</v>
      </c>
      <c r="F113" s="163">
        <f t="shared" si="11"/>
        <v>1532501.2366666663</v>
      </c>
      <c r="G113" s="163">
        <f t="shared" si="12"/>
        <v>1556921.2366666663</v>
      </c>
      <c r="H113" s="167">
        <f t="shared" si="13"/>
        <v>246339.38464945959</v>
      </c>
      <c r="I113" s="317">
        <f t="shared" si="14"/>
        <v>246339.38464945959</v>
      </c>
      <c r="J113" s="162">
        <f t="shared" si="15"/>
        <v>0</v>
      </c>
      <c r="K113" s="162"/>
      <c r="L113" s="335"/>
      <c r="M113" s="162">
        <f t="shared" si="16"/>
        <v>0</v>
      </c>
      <c r="N113" s="335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1532501.2366666663</v>
      </c>
      <c r="E114" s="164">
        <f t="shared" si="10"/>
        <v>48840</v>
      </c>
      <c r="F114" s="163">
        <f t="shared" si="11"/>
        <v>1483661.2366666663</v>
      </c>
      <c r="G114" s="163">
        <f t="shared" si="12"/>
        <v>1508081.2366666663</v>
      </c>
      <c r="H114" s="167">
        <f t="shared" si="13"/>
        <v>240143.90749935585</v>
      </c>
      <c r="I114" s="317">
        <f t="shared" si="14"/>
        <v>240143.90749935585</v>
      </c>
      <c r="J114" s="162">
        <f t="shared" si="15"/>
        <v>0</v>
      </c>
      <c r="K114" s="162"/>
      <c r="L114" s="335"/>
      <c r="M114" s="162">
        <f t="shared" si="16"/>
        <v>0</v>
      </c>
      <c r="N114" s="335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1483661.2366666663</v>
      </c>
      <c r="E115" s="164">
        <f t="shared" si="10"/>
        <v>48840</v>
      </c>
      <c r="F115" s="163">
        <f t="shared" si="11"/>
        <v>1434821.2366666663</v>
      </c>
      <c r="G115" s="163">
        <f t="shared" si="12"/>
        <v>1459241.2366666663</v>
      </c>
      <c r="H115" s="167">
        <f t="shared" si="13"/>
        <v>233948.4303492521</v>
      </c>
      <c r="I115" s="317">
        <f t="shared" si="14"/>
        <v>233948.4303492521</v>
      </c>
      <c r="J115" s="162">
        <f t="shared" si="15"/>
        <v>0</v>
      </c>
      <c r="K115" s="162"/>
      <c r="L115" s="335"/>
      <c r="M115" s="162">
        <f t="shared" si="16"/>
        <v>0</v>
      </c>
      <c r="N115" s="335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1434821.2366666663</v>
      </c>
      <c r="E116" s="164">
        <f t="shared" si="10"/>
        <v>48840</v>
      </c>
      <c r="F116" s="163">
        <f t="shared" si="11"/>
        <v>1385981.2366666663</v>
      </c>
      <c r="G116" s="163">
        <f t="shared" si="12"/>
        <v>1410401.2366666663</v>
      </c>
      <c r="H116" s="167">
        <f t="shared" si="13"/>
        <v>227752.95319914835</v>
      </c>
      <c r="I116" s="317">
        <f t="shared" si="14"/>
        <v>227752.95319914835</v>
      </c>
      <c r="J116" s="162">
        <f t="shared" si="15"/>
        <v>0</v>
      </c>
      <c r="K116" s="162"/>
      <c r="L116" s="335"/>
      <c r="M116" s="162">
        <f t="shared" si="16"/>
        <v>0</v>
      </c>
      <c r="N116" s="335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1385981.2366666663</v>
      </c>
      <c r="E117" s="164">
        <f t="shared" si="10"/>
        <v>48840</v>
      </c>
      <c r="F117" s="163">
        <f t="shared" si="11"/>
        <v>1337141.2366666663</v>
      </c>
      <c r="G117" s="163">
        <f t="shared" si="12"/>
        <v>1361561.2366666663</v>
      </c>
      <c r="H117" s="167">
        <f t="shared" si="13"/>
        <v>221557.47604904461</v>
      </c>
      <c r="I117" s="317">
        <f t="shared" si="14"/>
        <v>221557.47604904461</v>
      </c>
      <c r="J117" s="162">
        <f t="shared" si="15"/>
        <v>0</v>
      </c>
      <c r="K117" s="162"/>
      <c r="L117" s="335"/>
      <c r="M117" s="162">
        <f t="shared" si="16"/>
        <v>0</v>
      </c>
      <c r="N117" s="335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1337141.2366666663</v>
      </c>
      <c r="E118" s="164">
        <f t="shared" si="10"/>
        <v>48840</v>
      </c>
      <c r="F118" s="163">
        <f t="shared" si="11"/>
        <v>1288301.2366666663</v>
      </c>
      <c r="G118" s="163">
        <f t="shared" si="12"/>
        <v>1312721.2366666663</v>
      </c>
      <c r="H118" s="167">
        <f t="shared" si="13"/>
        <v>215361.99889894083</v>
      </c>
      <c r="I118" s="317">
        <f t="shared" si="14"/>
        <v>215361.99889894083</v>
      </c>
      <c r="J118" s="162">
        <f t="shared" si="15"/>
        <v>0</v>
      </c>
      <c r="K118" s="162"/>
      <c r="L118" s="335"/>
      <c r="M118" s="162">
        <f t="shared" si="16"/>
        <v>0</v>
      </c>
      <c r="N118" s="335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1288301.2366666663</v>
      </c>
      <c r="E119" s="164">
        <f t="shared" si="10"/>
        <v>48840</v>
      </c>
      <c r="F119" s="163">
        <f t="shared" si="11"/>
        <v>1239461.2366666663</v>
      </c>
      <c r="G119" s="163">
        <f t="shared" si="12"/>
        <v>1263881.2366666663</v>
      </c>
      <c r="H119" s="167">
        <f t="shared" si="13"/>
        <v>209166.52174883708</v>
      </c>
      <c r="I119" s="317">
        <f t="shared" si="14"/>
        <v>209166.52174883708</v>
      </c>
      <c r="J119" s="162">
        <f t="shared" si="15"/>
        <v>0</v>
      </c>
      <c r="K119" s="162"/>
      <c r="L119" s="335"/>
      <c r="M119" s="162">
        <f t="shared" si="16"/>
        <v>0</v>
      </c>
      <c r="N119" s="335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1239461.2366666663</v>
      </c>
      <c r="E120" s="164">
        <f t="shared" si="10"/>
        <v>48840</v>
      </c>
      <c r="F120" s="163">
        <f t="shared" si="11"/>
        <v>1190621.2366666663</v>
      </c>
      <c r="G120" s="163">
        <f t="shared" si="12"/>
        <v>1215041.2366666663</v>
      </c>
      <c r="H120" s="167">
        <f t="shared" si="13"/>
        <v>202971.04459873334</v>
      </c>
      <c r="I120" s="317">
        <f t="shared" si="14"/>
        <v>202971.04459873334</v>
      </c>
      <c r="J120" s="162">
        <f t="shared" si="15"/>
        <v>0</v>
      </c>
      <c r="K120" s="162"/>
      <c r="L120" s="335"/>
      <c r="M120" s="162">
        <f t="shared" si="16"/>
        <v>0</v>
      </c>
      <c r="N120" s="335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1190621.2366666663</v>
      </c>
      <c r="E121" s="164">
        <f t="shared" si="10"/>
        <v>48840</v>
      </c>
      <c r="F121" s="163">
        <f t="shared" si="11"/>
        <v>1141781.2366666663</v>
      </c>
      <c r="G121" s="163">
        <f t="shared" si="12"/>
        <v>1166201.2366666663</v>
      </c>
      <c r="H121" s="167">
        <f t="shared" si="13"/>
        <v>196775.56744862959</v>
      </c>
      <c r="I121" s="317">
        <f t="shared" si="14"/>
        <v>196775.56744862959</v>
      </c>
      <c r="J121" s="162">
        <f t="shared" si="15"/>
        <v>0</v>
      </c>
      <c r="K121" s="162"/>
      <c r="L121" s="335"/>
      <c r="M121" s="162">
        <f t="shared" si="16"/>
        <v>0</v>
      </c>
      <c r="N121" s="335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1141781.2366666663</v>
      </c>
      <c r="E122" s="164">
        <f t="shared" si="10"/>
        <v>48840</v>
      </c>
      <c r="F122" s="163">
        <f t="shared" si="11"/>
        <v>1092941.2366666663</v>
      </c>
      <c r="G122" s="163">
        <f t="shared" si="12"/>
        <v>1117361.2366666663</v>
      </c>
      <c r="H122" s="167">
        <f t="shared" si="13"/>
        <v>190580.09029852584</v>
      </c>
      <c r="I122" s="317">
        <f t="shared" si="14"/>
        <v>190580.09029852584</v>
      </c>
      <c r="J122" s="162">
        <f t="shared" si="15"/>
        <v>0</v>
      </c>
      <c r="K122" s="162"/>
      <c r="L122" s="335"/>
      <c r="M122" s="162">
        <f t="shared" si="16"/>
        <v>0</v>
      </c>
      <c r="N122" s="335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1092941.2366666663</v>
      </c>
      <c r="E123" s="164">
        <f t="shared" si="10"/>
        <v>48840</v>
      </c>
      <c r="F123" s="163">
        <f t="shared" si="11"/>
        <v>1044101.2366666663</v>
      </c>
      <c r="G123" s="163">
        <f t="shared" si="12"/>
        <v>1068521.2366666663</v>
      </c>
      <c r="H123" s="167">
        <f t="shared" si="13"/>
        <v>184384.6131484221</v>
      </c>
      <c r="I123" s="317">
        <f t="shared" si="14"/>
        <v>184384.6131484221</v>
      </c>
      <c r="J123" s="162">
        <f t="shared" si="15"/>
        <v>0</v>
      </c>
      <c r="K123" s="162"/>
      <c r="L123" s="335"/>
      <c r="M123" s="162">
        <f t="shared" si="16"/>
        <v>0</v>
      </c>
      <c r="N123" s="335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1044101.2366666663</v>
      </c>
      <c r="E124" s="164">
        <f t="shared" si="10"/>
        <v>48840</v>
      </c>
      <c r="F124" s="163">
        <f t="shared" si="11"/>
        <v>995261.23666666634</v>
      </c>
      <c r="G124" s="163">
        <f t="shared" si="12"/>
        <v>1019681.2366666663</v>
      </c>
      <c r="H124" s="167">
        <f t="shared" si="13"/>
        <v>178189.13599831832</v>
      </c>
      <c r="I124" s="317">
        <f t="shared" si="14"/>
        <v>178189.13599831832</v>
      </c>
      <c r="J124" s="162">
        <f t="shared" si="15"/>
        <v>0</v>
      </c>
      <c r="K124" s="162"/>
      <c r="L124" s="335"/>
      <c r="M124" s="162">
        <f t="shared" si="16"/>
        <v>0</v>
      </c>
      <c r="N124" s="335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995261.23666666634</v>
      </c>
      <c r="E125" s="164">
        <f t="shared" si="10"/>
        <v>48840</v>
      </c>
      <c r="F125" s="163">
        <f t="shared" si="11"/>
        <v>946421.23666666634</v>
      </c>
      <c r="G125" s="163">
        <f t="shared" si="12"/>
        <v>970841.23666666634</v>
      </c>
      <c r="H125" s="167">
        <f t="shared" si="13"/>
        <v>171993.65884821457</v>
      </c>
      <c r="I125" s="317">
        <f t="shared" si="14"/>
        <v>171993.65884821457</v>
      </c>
      <c r="J125" s="162">
        <f t="shared" si="15"/>
        <v>0</v>
      </c>
      <c r="K125" s="162"/>
      <c r="L125" s="335"/>
      <c r="M125" s="162">
        <f t="shared" si="16"/>
        <v>0</v>
      </c>
      <c r="N125" s="335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946421.23666666634</v>
      </c>
      <c r="E126" s="164">
        <f t="shared" si="10"/>
        <v>48840</v>
      </c>
      <c r="F126" s="163">
        <f t="shared" si="11"/>
        <v>897581.23666666634</v>
      </c>
      <c r="G126" s="163">
        <f t="shared" si="12"/>
        <v>922001.23666666634</v>
      </c>
      <c r="H126" s="167">
        <f t="shared" si="13"/>
        <v>165798.18169811083</v>
      </c>
      <c r="I126" s="317">
        <f t="shared" si="14"/>
        <v>165798.18169811083</v>
      </c>
      <c r="J126" s="162">
        <f t="shared" si="15"/>
        <v>0</v>
      </c>
      <c r="K126" s="162"/>
      <c r="L126" s="335"/>
      <c r="M126" s="162">
        <f t="shared" si="16"/>
        <v>0</v>
      </c>
      <c r="N126" s="335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897581.23666666634</v>
      </c>
      <c r="E127" s="164">
        <f t="shared" si="10"/>
        <v>48840</v>
      </c>
      <c r="F127" s="163">
        <f t="shared" si="11"/>
        <v>848741.23666666634</v>
      </c>
      <c r="G127" s="163">
        <f t="shared" si="12"/>
        <v>873161.23666666634</v>
      </c>
      <c r="H127" s="167">
        <f t="shared" si="13"/>
        <v>159602.70454800708</v>
      </c>
      <c r="I127" s="317">
        <f t="shared" si="14"/>
        <v>159602.70454800708</v>
      </c>
      <c r="J127" s="162">
        <f t="shared" si="15"/>
        <v>0</v>
      </c>
      <c r="K127" s="162"/>
      <c r="L127" s="335"/>
      <c r="M127" s="162">
        <f t="shared" si="16"/>
        <v>0</v>
      </c>
      <c r="N127" s="335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848741.23666666634</v>
      </c>
      <c r="E128" s="164">
        <f t="shared" si="10"/>
        <v>48840</v>
      </c>
      <c r="F128" s="163">
        <f t="shared" si="11"/>
        <v>799901.23666666634</v>
      </c>
      <c r="G128" s="163">
        <f t="shared" si="12"/>
        <v>824321.23666666634</v>
      </c>
      <c r="H128" s="167">
        <f t="shared" si="13"/>
        <v>153407.22739790333</v>
      </c>
      <c r="I128" s="317">
        <f t="shared" si="14"/>
        <v>153407.22739790333</v>
      </c>
      <c r="J128" s="162">
        <f t="shared" si="15"/>
        <v>0</v>
      </c>
      <c r="K128" s="162"/>
      <c r="L128" s="335"/>
      <c r="M128" s="162">
        <f t="shared" si="16"/>
        <v>0</v>
      </c>
      <c r="N128" s="335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799901.23666666634</v>
      </c>
      <c r="E129" s="164">
        <f t="shared" si="10"/>
        <v>48840</v>
      </c>
      <c r="F129" s="163">
        <f t="shared" si="11"/>
        <v>751061.23666666634</v>
      </c>
      <c r="G129" s="163">
        <f t="shared" si="12"/>
        <v>775481.23666666634</v>
      </c>
      <c r="H129" s="167">
        <f t="shared" si="13"/>
        <v>147211.75024779956</v>
      </c>
      <c r="I129" s="317">
        <f t="shared" si="14"/>
        <v>147211.75024779956</v>
      </c>
      <c r="J129" s="162">
        <f t="shared" si="15"/>
        <v>0</v>
      </c>
      <c r="K129" s="162"/>
      <c r="L129" s="335"/>
      <c r="M129" s="162">
        <f t="shared" si="16"/>
        <v>0</v>
      </c>
      <c r="N129" s="335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751061.23666666634</v>
      </c>
      <c r="E130" s="164">
        <f t="shared" si="10"/>
        <v>48840</v>
      </c>
      <c r="F130" s="163">
        <f t="shared" si="11"/>
        <v>702221.23666666634</v>
      </c>
      <c r="G130" s="163">
        <f t="shared" si="12"/>
        <v>726641.23666666634</v>
      </c>
      <c r="H130" s="167">
        <f t="shared" si="13"/>
        <v>141016.27309769584</v>
      </c>
      <c r="I130" s="317">
        <f t="shared" si="14"/>
        <v>141016.27309769584</v>
      </c>
      <c r="J130" s="162">
        <f t="shared" si="15"/>
        <v>0</v>
      </c>
      <c r="K130" s="162"/>
      <c r="L130" s="335"/>
      <c r="M130" s="162">
        <f t="shared" si="16"/>
        <v>0</v>
      </c>
      <c r="N130" s="335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702221.23666666634</v>
      </c>
      <c r="E131" s="164">
        <f t="shared" si="10"/>
        <v>48840</v>
      </c>
      <c r="F131" s="163">
        <f t="shared" si="11"/>
        <v>653381.23666666634</v>
      </c>
      <c r="G131" s="163">
        <f t="shared" si="12"/>
        <v>677801.23666666634</v>
      </c>
      <c r="H131" s="167">
        <f t="shared" si="13"/>
        <v>134820.79594759207</v>
      </c>
      <c r="I131" s="317">
        <f t="shared" si="14"/>
        <v>134820.79594759207</v>
      </c>
      <c r="J131" s="162">
        <f t="shared" si="15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653381.23666666634</v>
      </c>
      <c r="E132" s="164">
        <f t="shared" si="10"/>
        <v>48840</v>
      </c>
      <c r="F132" s="163">
        <f t="shared" si="11"/>
        <v>604541.23666666634</v>
      </c>
      <c r="G132" s="163">
        <f t="shared" si="12"/>
        <v>628961.23666666634</v>
      </c>
      <c r="H132" s="167">
        <f t="shared" si="13"/>
        <v>128625.31879748832</v>
      </c>
      <c r="I132" s="317">
        <f t="shared" si="14"/>
        <v>128625.31879748832</v>
      </c>
      <c r="J132" s="162">
        <f t="shared" si="15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604541.23666666634</v>
      </c>
      <c r="E133" s="164">
        <f t="shared" si="10"/>
        <v>48840</v>
      </c>
      <c r="F133" s="163">
        <f t="shared" si="11"/>
        <v>555701.23666666634</v>
      </c>
      <c r="G133" s="163">
        <f t="shared" si="12"/>
        <v>580121.23666666634</v>
      </c>
      <c r="H133" s="167">
        <f t="shared" si="13"/>
        <v>122429.84164738457</v>
      </c>
      <c r="I133" s="317">
        <f t="shared" si="14"/>
        <v>122429.84164738457</v>
      </c>
      <c r="J133" s="162">
        <f t="shared" si="15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555701.23666666634</v>
      </c>
      <c r="E134" s="164">
        <f t="shared" si="10"/>
        <v>48840</v>
      </c>
      <c r="F134" s="163">
        <f t="shared" si="11"/>
        <v>506861.23666666634</v>
      </c>
      <c r="G134" s="163">
        <f t="shared" si="12"/>
        <v>531281.23666666634</v>
      </c>
      <c r="H134" s="167">
        <f t="shared" si="13"/>
        <v>116234.36449728081</v>
      </c>
      <c r="I134" s="317">
        <f t="shared" si="14"/>
        <v>116234.36449728081</v>
      </c>
      <c r="J134" s="162">
        <f t="shared" si="15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506861.23666666634</v>
      </c>
      <c r="E135" s="164">
        <f t="shared" si="10"/>
        <v>48840</v>
      </c>
      <c r="F135" s="163">
        <f t="shared" si="11"/>
        <v>458021.23666666634</v>
      </c>
      <c r="G135" s="163">
        <f t="shared" si="12"/>
        <v>482441.23666666634</v>
      </c>
      <c r="H135" s="167">
        <f t="shared" si="13"/>
        <v>110038.88734717706</v>
      </c>
      <c r="I135" s="317">
        <f t="shared" si="14"/>
        <v>110038.88734717706</v>
      </c>
      <c r="J135" s="162">
        <f t="shared" si="15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458021.23666666634</v>
      </c>
      <c r="E136" s="164">
        <f t="shared" si="10"/>
        <v>48840</v>
      </c>
      <c r="F136" s="163">
        <f t="shared" si="11"/>
        <v>409181.23666666634</v>
      </c>
      <c r="G136" s="163">
        <f t="shared" si="12"/>
        <v>433601.23666666634</v>
      </c>
      <c r="H136" s="167">
        <f t="shared" si="13"/>
        <v>103843.4101970733</v>
      </c>
      <c r="I136" s="317">
        <f t="shared" si="14"/>
        <v>103843.4101970733</v>
      </c>
      <c r="J136" s="162">
        <f t="shared" si="15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409181.23666666634</v>
      </c>
      <c r="E137" s="164">
        <f t="shared" si="10"/>
        <v>48840</v>
      </c>
      <c r="F137" s="163">
        <f t="shared" si="11"/>
        <v>360341.23666666634</v>
      </c>
      <c r="G137" s="163">
        <f t="shared" si="12"/>
        <v>384761.23666666634</v>
      </c>
      <c r="H137" s="167">
        <f t="shared" si="13"/>
        <v>97647.933046969556</v>
      </c>
      <c r="I137" s="317">
        <f t="shared" si="14"/>
        <v>97647.933046969556</v>
      </c>
      <c r="J137" s="162">
        <f t="shared" si="15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360341.23666666634</v>
      </c>
      <c r="E138" s="164">
        <f t="shared" si="10"/>
        <v>48840</v>
      </c>
      <c r="F138" s="163">
        <f t="shared" si="11"/>
        <v>311501.23666666634</v>
      </c>
      <c r="G138" s="163">
        <f t="shared" si="12"/>
        <v>335921.23666666634</v>
      </c>
      <c r="H138" s="167">
        <f t="shared" si="13"/>
        <v>91452.455896865809</v>
      </c>
      <c r="I138" s="317">
        <f t="shared" si="14"/>
        <v>91452.455896865809</v>
      </c>
      <c r="J138" s="162">
        <f t="shared" si="15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311501.23666666634</v>
      </c>
      <c r="E139" s="164">
        <f t="shared" si="10"/>
        <v>48840</v>
      </c>
      <c r="F139" s="163">
        <f t="shared" si="11"/>
        <v>262661.23666666634</v>
      </c>
      <c r="G139" s="163">
        <f t="shared" si="12"/>
        <v>287081.23666666634</v>
      </c>
      <c r="H139" s="167">
        <f t="shared" si="13"/>
        <v>85256.978746762063</v>
      </c>
      <c r="I139" s="317">
        <f t="shared" si="14"/>
        <v>85256.978746762063</v>
      </c>
      <c r="J139" s="162">
        <f t="shared" si="15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262661.23666666634</v>
      </c>
      <c r="E140" s="164">
        <f t="shared" si="10"/>
        <v>48840</v>
      </c>
      <c r="F140" s="163">
        <f t="shared" si="11"/>
        <v>213821.23666666634</v>
      </c>
      <c r="G140" s="163">
        <f t="shared" si="12"/>
        <v>238241.23666666634</v>
      </c>
      <c r="H140" s="167">
        <f t="shared" si="13"/>
        <v>79061.501596658301</v>
      </c>
      <c r="I140" s="317">
        <f t="shared" si="14"/>
        <v>79061.501596658301</v>
      </c>
      <c r="J140" s="162">
        <f t="shared" si="15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213821.23666666634</v>
      </c>
      <c r="E141" s="164">
        <f t="shared" si="10"/>
        <v>48840</v>
      </c>
      <c r="F141" s="163">
        <f t="shared" si="11"/>
        <v>164981.23666666634</v>
      </c>
      <c r="G141" s="163">
        <f t="shared" si="12"/>
        <v>189401.23666666634</v>
      </c>
      <c r="H141" s="167">
        <f t="shared" si="13"/>
        <v>72866.024446554555</v>
      </c>
      <c r="I141" s="317">
        <f t="shared" si="14"/>
        <v>72866.024446554555</v>
      </c>
      <c r="J141" s="162">
        <f t="shared" si="15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164981.23666666634</v>
      </c>
      <c r="E142" s="164">
        <f t="shared" si="10"/>
        <v>48840</v>
      </c>
      <c r="F142" s="163">
        <f t="shared" si="11"/>
        <v>116141.23666666634</v>
      </c>
      <c r="G142" s="163">
        <f t="shared" si="12"/>
        <v>140561.23666666634</v>
      </c>
      <c r="H142" s="167">
        <f t="shared" si="13"/>
        <v>66670.547296450794</v>
      </c>
      <c r="I142" s="317">
        <f t="shared" si="14"/>
        <v>66670.547296450794</v>
      </c>
      <c r="J142" s="162">
        <f t="shared" si="15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116141.23666666634</v>
      </c>
      <c r="E143" s="164">
        <f t="shared" si="10"/>
        <v>48840</v>
      </c>
      <c r="F143" s="163">
        <f t="shared" si="11"/>
        <v>67301.236666666344</v>
      </c>
      <c r="G143" s="163">
        <f t="shared" si="12"/>
        <v>91721.236666666344</v>
      </c>
      <c r="H143" s="167">
        <f t="shared" si="13"/>
        <v>60475.070146347047</v>
      </c>
      <c r="I143" s="317">
        <f t="shared" si="14"/>
        <v>60475.070146347047</v>
      </c>
      <c r="J143" s="162">
        <f t="shared" si="15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67301.236666666344</v>
      </c>
      <c r="E144" s="164">
        <f t="shared" si="10"/>
        <v>48840</v>
      </c>
      <c r="F144" s="163">
        <f t="shared" si="11"/>
        <v>18461.236666666344</v>
      </c>
      <c r="G144" s="163">
        <f t="shared" si="12"/>
        <v>42881.236666666344</v>
      </c>
      <c r="H144" s="167">
        <f t="shared" si="13"/>
        <v>54279.592996243293</v>
      </c>
      <c r="I144" s="317">
        <f t="shared" si="14"/>
        <v>54279.592996243293</v>
      </c>
      <c r="J144" s="162">
        <f t="shared" si="15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18461.236666666344</v>
      </c>
      <c r="E145" s="164">
        <f t="shared" si="10"/>
        <v>18461.236666666344</v>
      </c>
      <c r="F145" s="163">
        <f t="shared" si="11"/>
        <v>0</v>
      </c>
      <c r="G145" s="163">
        <f t="shared" si="12"/>
        <v>9230.6183333331719</v>
      </c>
      <c r="H145" s="167">
        <f t="shared" si="13"/>
        <v>19632.163877262054</v>
      </c>
      <c r="I145" s="317">
        <f t="shared" si="14"/>
        <v>19632.163877262054</v>
      </c>
      <c r="J145" s="162">
        <f t="shared" si="15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0"/>
        <v>0</v>
      </c>
      <c r="F146" s="163">
        <f t="shared" si="11"/>
        <v>0</v>
      </c>
      <c r="G146" s="163">
        <f t="shared" si="12"/>
        <v>0</v>
      </c>
      <c r="H146" s="167">
        <f t="shared" si="13"/>
        <v>0</v>
      </c>
      <c r="I146" s="317">
        <f t="shared" si="14"/>
        <v>0</v>
      </c>
      <c r="J146" s="162">
        <f t="shared" si="15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0"/>
        <v>0</v>
      </c>
      <c r="F147" s="163">
        <f t="shared" si="11"/>
        <v>0</v>
      </c>
      <c r="G147" s="163">
        <f t="shared" si="12"/>
        <v>0</v>
      </c>
      <c r="H147" s="167">
        <f t="shared" si="13"/>
        <v>0</v>
      </c>
      <c r="I147" s="317">
        <f t="shared" si="14"/>
        <v>0</v>
      </c>
      <c r="J147" s="162">
        <f t="shared" si="15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0"/>
        <v>0</v>
      </c>
      <c r="F148" s="163">
        <f t="shared" si="11"/>
        <v>0</v>
      </c>
      <c r="G148" s="163">
        <f t="shared" si="12"/>
        <v>0</v>
      </c>
      <c r="H148" s="167">
        <f t="shared" si="13"/>
        <v>0</v>
      </c>
      <c r="I148" s="317">
        <f t="shared" si="14"/>
        <v>0</v>
      </c>
      <c r="J148" s="162">
        <f t="shared" si="15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0"/>
        <v>0</v>
      </c>
      <c r="F149" s="163">
        <f t="shared" si="11"/>
        <v>0</v>
      </c>
      <c r="G149" s="163">
        <f t="shared" si="12"/>
        <v>0</v>
      </c>
      <c r="H149" s="167">
        <f t="shared" si="13"/>
        <v>0</v>
      </c>
      <c r="I149" s="317">
        <f t="shared" si="14"/>
        <v>0</v>
      </c>
      <c r="J149" s="162">
        <f t="shared" si="15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0"/>
        <v>0</v>
      </c>
      <c r="F150" s="163">
        <f t="shared" si="11"/>
        <v>0</v>
      </c>
      <c r="G150" s="163">
        <f t="shared" si="12"/>
        <v>0</v>
      </c>
      <c r="H150" s="167">
        <f t="shared" si="13"/>
        <v>0</v>
      </c>
      <c r="I150" s="317">
        <f t="shared" si="14"/>
        <v>0</v>
      </c>
      <c r="J150" s="162">
        <f t="shared" si="15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0"/>
        <v>0</v>
      </c>
      <c r="F151" s="163">
        <f t="shared" si="11"/>
        <v>0</v>
      </c>
      <c r="G151" s="163">
        <f t="shared" si="12"/>
        <v>0</v>
      </c>
      <c r="H151" s="167">
        <f t="shared" si="13"/>
        <v>0</v>
      </c>
      <c r="I151" s="317">
        <f t="shared" si="14"/>
        <v>0</v>
      </c>
      <c r="J151" s="162">
        <f t="shared" si="15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0"/>
        <v>0</v>
      </c>
      <c r="F152" s="163">
        <f t="shared" si="11"/>
        <v>0</v>
      </c>
      <c r="G152" s="163">
        <f t="shared" si="12"/>
        <v>0</v>
      </c>
      <c r="H152" s="167">
        <f t="shared" si="13"/>
        <v>0</v>
      </c>
      <c r="I152" s="317">
        <f t="shared" si="14"/>
        <v>0</v>
      </c>
      <c r="J152" s="162">
        <f t="shared" si="15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0"/>
        <v>0</v>
      </c>
      <c r="F153" s="163">
        <f t="shared" si="11"/>
        <v>0</v>
      </c>
      <c r="G153" s="163">
        <f t="shared" si="12"/>
        <v>0</v>
      </c>
      <c r="H153" s="167">
        <f t="shared" si="13"/>
        <v>0</v>
      </c>
      <c r="I153" s="317">
        <f t="shared" si="14"/>
        <v>0</v>
      </c>
      <c r="J153" s="162">
        <f t="shared" si="15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0"/>
        <v>0</v>
      </c>
      <c r="F154" s="163">
        <f t="shared" si="11"/>
        <v>0</v>
      </c>
      <c r="G154" s="163">
        <f t="shared" si="12"/>
        <v>0</v>
      </c>
      <c r="H154" s="167">
        <f t="shared" si="13"/>
        <v>0</v>
      </c>
      <c r="I154" s="317">
        <f t="shared" si="14"/>
        <v>0</v>
      </c>
      <c r="J154" s="162">
        <f t="shared" si="15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2246628.5699999998</v>
      </c>
      <c r="F155" s="115"/>
      <c r="G155" s="115"/>
      <c r="H155" s="115">
        <f>SUM(H99:H154)</f>
        <v>8806561.5277731884</v>
      </c>
      <c r="I155" s="115">
        <f>SUM(I99:I154)</f>
        <v>8806561.5277731884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zoomScale="80" zoomScaleNormal="100" zoomScaleSheetLayoutView="8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16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637218.97874084802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637218.97874084802</v>
      </c>
      <c r="O6" s="1"/>
      <c r="P6" s="1"/>
    </row>
    <row r="7" spans="1:16" ht="13.5" thickBot="1">
      <c r="C7" s="127" t="s">
        <v>41</v>
      </c>
      <c r="D7" s="426" t="s">
        <v>245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244</v>
      </c>
      <c r="E9" s="428" t="s">
        <v>252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5059278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126481.95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36">
        <v>5300000</v>
      </c>
      <c r="E17" s="441">
        <v>0</v>
      </c>
      <c r="F17" s="436">
        <v>5300000</v>
      </c>
      <c r="G17" s="441">
        <v>729591.46876123699</v>
      </c>
      <c r="H17" s="439">
        <v>729591.46876123699</v>
      </c>
      <c r="I17" s="160">
        <v>0</v>
      </c>
      <c r="J17" s="160"/>
      <c r="K17" s="338">
        <f>G17</f>
        <v>729591.46876123699</v>
      </c>
      <c r="L17" s="440">
        <f>IF(K17&lt;&gt;0,+G17-K17,0)</f>
        <v>0</v>
      </c>
      <c r="M17" s="338">
        <f>H17</f>
        <v>729591.46876123699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36">
        <v>5300000</v>
      </c>
      <c r="E18" s="437">
        <v>101923.07692307692</v>
      </c>
      <c r="F18" s="436">
        <v>5198076.923076923</v>
      </c>
      <c r="G18" s="437">
        <v>818590.55430690572</v>
      </c>
      <c r="H18" s="439">
        <v>818590.55430690572</v>
      </c>
      <c r="I18" s="160">
        <v>0</v>
      </c>
      <c r="J18" s="160"/>
      <c r="K18" s="338">
        <f>G18</f>
        <v>818590.55430690572</v>
      </c>
      <c r="L18" s="440">
        <f>IF(K18&lt;&gt;0,+G18-K18,0)</f>
        <v>0</v>
      </c>
      <c r="M18" s="338">
        <f>H18</f>
        <v>818590.55430690572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36">
        <v>4969414.923076923</v>
      </c>
      <c r="E19" s="437">
        <v>97525.730769230766</v>
      </c>
      <c r="F19" s="436">
        <v>4871889.192307692</v>
      </c>
      <c r="G19" s="437">
        <v>736520.73076923075</v>
      </c>
      <c r="H19" s="439">
        <v>736520.73076923075</v>
      </c>
      <c r="I19" s="160">
        <f>H19-G19</f>
        <v>0</v>
      </c>
      <c r="J19" s="160"/>
      <c r="K19" s="338">
        <f>G19</f>
        <v>736520.73076923075</v>
      </c>
      <c r="L19" s="440">
        <f>IF(K19&lt;&gt;0,+G19-K19,0)</f>
        <v>0</v>
      </c>
      <c r="M19" s="338">
        <f>H19</f>
        <v>736520.73076923075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>IU</v>
      </c>
      <c r="C20" s="157">
        <f>IF(D11="","-",+C19+1)</f>
        <v>2017</v>
      </c>
      <c r="D20" s="436">
        <v>4859829.192307692</v>
      </c>
      <c r="E20" s="437">
        <v>109984.30434782608</v>
      </c>
      <c r="F20" s="436">
        <v>4749844.8879598659</v>
      </c>
      <c r="G20" s="437">
        <v>714452.30434782605</v>
      </c>
      <c r="H20" s="439">
        <v>714452.30434782605</v>
      </c>
      <c r="I20" s="160">
        <v>0</v>
      </c>
      <c r="J20" s="160"/>
      <c r="K20" s="338">
        <f>G20</f>
        <v>714452.30434782605</v>
      </c>
      <c r="L20" s="440">
        <f>IF(K20&lt;&gt;0,+G20-K20,0)</f>
        <v>0</v>
      </c>
      <c r="M20" s="338">
        <f>H20</f>
        <v>714452.30434782605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36">
        <v>4749844.8879598659</v>
      </c>
      <c r="E21" s="437">
        <v>112428.4</v>
      </c>
      <c r="F21" s="436">
        <v>4637416.4879598655</v>
      </c>
      <c r="G21" s="437">
        <v>674532.63926355843</v>
      </c>
      <c r="H21" s="439">
        <v>674532.63926355843</v>
      </c>
      <c r="I21" s="160">
        <f t="shared" ref="I21:I72" si="1">H21-G21</f>
        <v>0</v>
      </c>
      <c r="J21" s="160"/>
      <c r="K21" s="338">
        <f>G21</f>
        <v>674532.63926355843</v>
      </c>
      <c r="L21" s="440">
        <f>IF(K21&lt;&gt;0,+G21-K21,0)</f>
        <v>0</v>
      </c>
      <c r="M21" s="338">
        <f>H21</f>
        <v>674532.63926355843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4637416.4879598655</v>
      </c>
      <c r="E22" s="164">
        <f t="shared" ref="E22:E72" si="2">IF(+$I$14&lt;F21,$I$14,D22)</f>
        <v>126481.95</v>
      </c>
      <c r="F22" s="163">
        <f t="shared" ref="F22:F72" si="3">+D22-E22</f>
        <v>4510934.5379598653</v>
      </c>
      <c r="G22" s="165">
        <f t="shared" ref="G22:G72" si="4">(D22+F22)/2*I$12+E22</f>
        <v>637218.97874084802</v>
      </c>
      <c r="H22" s="147">
        <f t="shared" ref="H22:H72" si="5">+(D22+F22)/2*I$13+E22</f>
        <v>637218.97874084802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4510934.5379598653</v>
      </c>
      <c r="E23" s="164">
        <f t="shared" si="2"/>
        <v>126481.95</v>
      </c>
      <c r="F23" s="163">
        <f t="shared" si="3"/>
        <v>4384452.5879598651</v>
      </c>
      <c r="G23" s="165">
        <f t="shared" si="4"/>
        <v>623096.43028390256</v>
      </c>
      <c r="H23" s="147">
        <f t="shared" si="5"/>
        <v>623096.43028390256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4384452.5879598651</v>
      </c>
      <c r="E24" s="164">
        <f t="shared" si="2"/>
        <v>126481.95</v>
      </c>
      <c r="F24" s="163">
        <f t="shared" si="3"/>
        <v>4257970.6379598649</v>
      </c>
      <c r="G24" s="165">
        <f t="shared" si="4"/>
        <v>608973.88182695734</v>
      </c>
      <c r="H24" s="147">
        <f t="shared" si="5"/>
        <v>608973.88182695734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4257970.6379598649</v>
      </c>
      <c r="E25" s="164">
        <f t="shared" si="2"/>
        <v>126481.95</v>
      </c>
      <c r="F25" s="163">
        <f t="shared" si="3"/>
        <v>4131488.6879598647</v>
      </c>
      <c r="G25" s="165">
        <f t="shared" si="4"/>
        <v>594851.33337001188</v>
      </c>
      <c r="H25" s="147">
        <f t="shared" si="5"/>
        <v>594851.33337001188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4131488.6879598647</v>
      </c>
      <c r="E26" s="164">
        <f t="shared" si="2"/>
        <v>126481.95</v>
      </c>
      <c r="F26" s="163">
        <f t="shared" si="3"/>
        <v>4005006.7379598645</v>
      </c>
      <c r="G26" s="165">
        <f t="shared" si="4"/>
        <v>580728.78491306654</v>
      </c>
      <c r="H26" s="147">
        <f t="shared" si="5"/>
        <v>580728.78491306654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4005006.7379598645</v>
      </c>
      <c r="E27" s="164">
        <f t="shared" si="2"/>
        <v>126481.95</v>
      </c>
      <c r="F27" s="163">
        <f t="shared" si="3"/>
        <v>3878524.7879598644</v>
      </c>
      <c r="G27" s="165">
        <f t="shared" si="4"/>
        <v>566606.2364561212</v>
      </c>
      <c r="H27" s="147">
        <f t="shared" si="5"/>
        <v>566606.2364561212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3878524.7879598644</v>
      </c>
      <c r="E28" s="164">
        <f t="shared" si="2"/>
        <v>126481.95</v>
      </c>
      <c r="F28" s="163">
        <f t="shared" si="3"/>
        <v>3752042.8379598642</v>
      </c>
      <c r="G28" s="165">
        <f t="shared" si="4"/>
        <v>552483.68799917586</v>
      </c>
      <c r="H28" s="147">
        <f t="shared" si="5"/>
        <v>552483.68799917586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3752042.8379598642</v>
      </c>
      <c r="E29" s="164">
        <f t="shared" si="2"/>
        <v>126481.95</v>
      </c>
      <c r="F29" s="163">
        <f t="shared" si="3"/>
        <v>3625560.887959864</v>
      </c>
      <c r="G29" s="165">
        <f t="shared" si="4"/>
        <v>538361.13954223052</v>
      </c>
      <c r="H29" s="147">
        <f t="shared" si="5"/>
        <v>538361.13954223052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3625560.887959864</v>
      </c>
      <c r="E30" s="164">
        <f t="shared" si="2"/>
        <v>126481.95</v>
      </c>
      <c r="F30" s="163">
        <f t="shared" si="3"/>
        <v>3499078.9379598638</v>
      </c>
      <c r="G30" s="165">
        <f t="shared" si="4"/>
        <v>524238.59108528512</v>
      </c>
      <c r="H30" s="147">
        <f t="shared" si="5"/>
        <v>524238.59108528512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3499078.9379598638</v>
      </c>
      <c r="E31" s="164">
        <f t="shared" si="2"/>
        <v>126481.95</v>
      </c>
      <c r="F31" s="163">
        <f t="shared" si="3"/>
        <v>3372596.9879598636</v>
      </c>
      <c r="G31" s="165">
        <f t="shared" si="4"/>
        <v>510116.04262833978</v>
      </c>
      <c r="H31" s="147">
        <f t="shared" si="5"/>
        <v>510116.04262833978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3372596.9879598636</v>
      </c>
      <c r="E32" s="164">
        <f t="shared" si="2"/>
        <v>126481.95</v>
      </c>
      <c r="F32" s="163">
        <f t="shared" si="3"/>
        <v>3246115.0379598634</v>
      </c>
      <c r="G32" s="165">
        <f t="shared" si="4"/>
        <v>495993.49417139444</v>
      </c>
      <c r="H32" s="147">
        <f t="shared" si="5"/>
        <v>495993.49417139444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3246115.0379598634</v>
      </c>
      <c r="E33" s="164">
        <f t="shared" si="2"/>
        <v>126481.95</v>
      </c>
      <c r="F33" s="163">
        <f t="shared" si="3"/>
        <v>3119633.0879598632</v>
      </c>
      <c r="G33" s="165">
        <f t="shared" si="4"/>
        <v>481870.94571444904</v>
      </c>
      <c r="H33" s="147">
        <f t="shared" si="5"/>
        <v>481870.94571444904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3119633.0879598632</v>
      </c>
      <c r="E34" s="164">
        <f t="shared" si="2"/>
        <v>126481.95</v>
      </c>
      <c r="F34" s="163">
        <f t="shared" si="3"/>
        <v>2993151.1379598631</v>
      </c>
      <c r="G34" s="165">
        <f t="shared" si="4"/>
        <v>467748.3972575037</v>
      </c>
      <c r="H34" s="147">
        <f t="shared" si="5"/>
        <v>467748.3972575037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2993151.1379598631</v>
      </c>
      <c r="E35" s="164">
        <f t="shared" si="2"/>
        <v>126481.95</v>
      </c>
      <c r="F35" s="163">
        <f t="shared" si="3"/>
        <v>2866669.1879598629</v>
      </c>
      <c r="G35" s="165">
        <f t="shared" si="4"/>
        <v>453625.84880055836</v>
      </c>
      <c r="H35" s="147">
        <f t="shared" si="5"/>
        <v>453625.84880055836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2866669.1879598629</v>
      </c>
      <c r="E36" s="164">
        <f t="shared" si="2"/>
        <v>126481.95</v>
      </c>
      <c r="F36" s="163">
        <f t="shared" si="3"/>
        <v>2740187.2379598627</v>
      </c>
      <c r="G36" s="165">
        <f t="shared" si="4"/>
        <v>439503.30034361297</v>
      </c>
      <c r="H36" s="147">
        <f t="shared" si="5"/>
        <v>439503.30034361297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2740187.2379598627</v>
      </c>
      <c r="E37" s="164">
        <f t="shared" si="2"/>
        <v>126481.95</v>
      </c>
      <c r="F37" s="163">
        <f t="shared" si="3"/>
        <v>2613705.2879598625</v>
      </c>
      <c r="G37" s="165">
        <f t="shared" si="4"/>
        <v>425380.75188666763</v>
      </c>
      <c r="H37" s="147">
        <f t="shared" si="5"/>
        <v>425380.75188666763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2613705.2879598625</v>
      </c>
      <c r="E38" s="164">
        <f t="shared" si="2"/>
        <v>126481.95</v>
      </c>
      <c r="F38" s="163">
        <f t="shared" si="3"/>
        <v>2487223.3379598623</v>
      </c>
      <c r="G38" s="165">
        <f t="shared" si="4"/>
        <v>411258.20342972229</v>
      </c>
      <c r="H38" s="147">
        <f t="shared" si="5"/>
        <v>411258.20342972229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2487223.3379598623</v>
      </c>
      <c r="E39" s="164">
        <f t="shared" si="2"/>
        <v>126481.95</v>
      </c>
      <c r="F39" s="163">
        <f t="shared" si="3"/>
        <v>2360741.3879598621</v>
      </c>
      <c r="G39" s="165">
        <f t="shared" si="4"/>
        <v>397135.65497277689</v>
      </c>
      <c r="H39" s="147">
        <f t="shared" si="5"/>
        <v>397135.65497277689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2360741.3879598621</v>
      </c>
      <c r="E40" s="164">
        <f t="shared" si="2"/>
        <v>126481.95</v>
      </c>
      <c r="F40" s="163">
        <f t="shared" si="3"/>
        <v>2234259.4379598619</v>
      </c>
      <c r="G40" s="165">
        <f t="shared" si="4"/>
        <v>383013.10651583155</v>
      </c>
      <c r="H40" s="147">
        <f t="shared" si="5"/>
        <v>383013.10651583155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2234259.4379598619</v>
      </c>
      <c r="E41" s="164">
        <f t="shared" si="2"/>
        <v>126481.95</v>
      </c>
      <c r="F41" s="163">
        <f t="shared" si="3"/>
        <v>2107777.4879598618</v>
      </c>
      <c r="G41" s="165">
        <f t="shared" si="4"/>
        <v>368890.55805888615</v>
      </c>
      <c r="H41" s="147">
        <f t="shared" si="5"/>
        <v>368890.55805888615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2107777.4879598618</v>
      </c>
      <c r="E42" s="164">
        <f t="shared" si="2"/>
        <v>126481.95</v>
      </c>
      <c r="F42" s="163">
        <f t="shared" si="3"/>
        <v>1981295.5379598618</v>
      </c>
      <c r="G42" s="165">
        <f t="shared" si="4"/>
        <v>354768.00960194081</v>
      </c>
      <c r="H42" s="147">
        <f t="shared" si="5"/>
        <v>354768.00960194081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1981295.5379598618</v>
      </c>
      <c r="E43" s="164">
        <f t="shared" si="2"/>
        <v>126481.95</v>
      </c>
      <c r="F43" s="163">
        <f t="shared" si="3"/>
        <v>1854813.5879598618</v>
      </c>
      <c r="G43" s="165">
        <f t="shared" si="4"/>
        <v>340645.46114499553</v>
      </c>
      <c r="H43" s="147">
        <f t="shared" si="5"/>
        <v>340645.46114499553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1854813.5879598618</v>
      </c>
      <c r="E44" s="164">
        <f t="shared" si="2"/>
        <v>126481.95</v>
      </c>
      <c r="F44" s="163">
        <f t="shared" si="3"/>
        <v>1728331.6379598619</v>
      </c>
      <c r="G44" s="165">
        <f t="shared" si="4"/>
        <v>326522.91268805013</v>
      </c>
      <c r="H44" s="147">
        <f t="shared" si="5"/>
        <v>326522.91268805013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1728331.6379598619</v>
      </c>
      <c r="E45" s="164">
        <f t="shared" si="2"/>
        <v>126481.95</v>
      </c>
      <c r="F45" s="163">
        <f t="shared" si="3"/>
        <v>1601849.6879598619</v>
      </c>
      <c r="G45" s="165">
        <f t="shared" si="4"/>
        <v>312400.36423110485</v>
      </c>
      <c r="H45" s="147">
        <f t="shared" si="5"/>
        <v>312400.36423110485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1601849.6879598619</v>
      </c>
      <c r="E46" s="164">
        <f t="shared" si="2"/>
        <v>126481.95</v>
      </c>
      <c r="F46" s="163">
        <f t="shared" si="3"/>
        <v>1475367.737959862</v>
      </c>
      <c r="G46" s="165">
        <f t="shared" si="4"/>
        <v>298277.81577415951</v>
      </c>
      <c r="H46" s="147">
        <f t="shared" si="5"/>
        <v>298277.81577415951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1475367.737959862</v>
      </c>
      <c r="E47" s="164">
        <f t="shared" si="2"/>
        <v>126481.95</v>
      </c>
      <c r="F47" s="163">
        <f t="shared" si="3"/>
        <v>1348885.787959862</v>
      </c>
      <c r="G47" s="165">
        <f t="shared" si="4"/>
        <v>284155.26731721417</v>
      </c>
      <c r="H47" s="147">
        <f t="shared" si="5"/>
        <v>284155.26731721417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1348885.787959862</v>
      </c>
      <c r="E48" s="164">
        <f t="shared" si="2"/>
        <v>126481.95</v>
      </c>
      <c r="F48" s="163">
        <f t="shared" si="3"/>
        <v>1222403.8379598621</v>
      </c>
      <c r="G48" s="165">
        <f t="shared" si="4"/>
        <v>270032.71886026883</v>
      </c>
      <c r="H48" s="147">
        <f t="shared" si="5"/>
        <v>270032.71886026883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1222403.8379598621</v>
      </c>
      <c r="E49" s="164">
        <f t="shared" si="2"/>
        <v>126481.95</v>
      </c>
      <c r="F49" s="163">
        <f t="shared" si="3"/>
        <v>1095921.8879598621</v>
      </c>
      <c r="G49" s="165">
        <f t="shared" si="4"/>
        <v>255910.17040332349</v>
      </c>
      <c r="H49" s="147">
        <f t="shared" si="5"/>
        <v>255910.17040332349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1095921.8879598621</v>
      </c>
      <c r="E50" s="164">
        <f t="shared" si="2"/>
        <v>126481.95</v>
      </c>
      <c r="F50" s="163">
        <f t="shared" si="3"/>
        <v>969439.93795986217</v>
      </c>
      <c r="G50" s="165">
        <f t="shared" si="4"/>
        <v>241787.62194637815</v>
      </c>
      <c r="H50" s="147">
        <f t="shared" si="5"/>
        <v>241787.62194637815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969439.93795986217</v>
      </c>
      <c r="E51" s="164">
        <f t="shared" si="2"/>
        <v>126481.95</v>
      </c>
      <c r="F51" s="163">
        <f t="shared" si="3"/>
        <v>842957.98795986222</v>
      </c>
      <c r="G51" s="165">
        <f t="shared" si="4"/>
        <v>227665.07348943281</v>
      </c>
      <c r="H51" s="147">
        <f t="shared" si="5"/>
        <v>227665.07348943281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842957.98795986222</v>
      </c>
      <c r="E52" s="164">
        <f t="shared" si="2"/>
        <v>126481.95</v>
      </c>
      <c r="F52" s="163">
        <f t="shared" si="3"/>
        <v>716476.03795986227</v>
      </c>
      <c r="G52" s="165">
        <f t="shared" si="4"/>
        <v>213542.52503248749</v>
      </c>
      <c r="H52" s="147">
        <f t="shared" si="5"/>
        <v>213542.52503248749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716476.03795986227</v>
      </c>
      <c r="E53" s="164">
        <f t="shared" si="2"/>
        <v>126481.95</v>
      </c>
      <c r="F53" s="163">
        <f t="shared" si="3"/>
        <v>589994.08795986231</v>
      </c>
      <c r="G53" s="165">
        <f t="shared" si="4"/>
        <v>199419.97657554215</v>
      </c>
      <c r="H53" s="147">
        <f t="shared" si="5"/>
        <v>199419.97657554215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589994.08795986231</v>
      </c>
      <c r="E54" s="164">
        <f t="shared" si="2"/>
        <v>126481.95</v>
      </c>
      <c r="F54" s="163">
        <f t="shared" si="3"/>
        <v>463512.1379598623</v>
      </c>
      <c r="G54" s="165">
        <f t="shared" si="4"/>
        <v>185297.42811859681</v>
      </c>
      <c r="H54" s="147">
        <f t="shared" si="5"/>
        <v>185297.42811859681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463512.1379598623</v>
      </c>
      <c r="E55" s="164">
        <f t="shared" si="2"/>
        <v>126481.95</v>
      </c>
      <c r="F55" s="163">
        <f t="shared" si="3"/>
        <v>337030.18795986229</v>
      </c>
      <c r="G55" s="165">
        <f t="shared" si="4"/>
        <v>171174.87966165147</v>
      </c>
      <c r="H55" s="147">
        <f t="shared" si="5"/>
        <v>171174.87966165147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337030.18795986229</v>
      </c>
      <c r="E56" s="164">
        <f t="shared" si="2"/>
        <v>126481.95</v>
      </c>
      <c r="F56" s="163">
        <f t="shared" si="3"/>
        <v>210548.23795986228</v>
      </c>
      <c r="G56" s="165">
        <f t="shared" si="4"/>
        <v>157052.33120470613</v>
      </c>
      <c r="H56" s="147">
        <f t="shared" si="5"/>
        <v>157052.33120470613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210548.23795986228</v>
      </c>
      <c r="E57" s="164">
        <f t="shared" si="2"/>
        <v>126481.95</v>
      </c>
      <c r="F57" s="163">
        <f t="shared" si="3"/>
        <v>84066.287959862282</v>
      </c>
      <c r="G57" s="165">
        <f t="shared" si="4"/>
        <v>142929.78274776079</v>
      </c>
      <c r="H57" s="147">
        <f t="shared" si="5"/>
        <v>142929.78274776079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84066.287959862282</v>
      </c>
      <c r="E58" s="164">
        <f t="shared" si="2"/>
        <v>84066.287959862282</v>
      </c>
      <c r="F58" s="163">
        <f t="shared" si="3"/>
        <v>0</v>
      </c>
      <c r="G58" s="165">
        <f t="shared" si="4"/>
        <v>88759.567219506353</v>
      </c>
      <c r="H58" s="147">
        <f t="shared" si="5"/>
        <v>88759.567219506353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0</v>
      </c>
      <c r="E59" s="164">
        <f t="shared" si="2"/>
        <v>0</v>
      </c>
      <c r="F59" s="163">
        <f t="shared" si="3"/>
        <v>0</v>
      </c>
      <c r="G59" s="165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2"/>
        <v>0</v>
      </c>
      <c r="F60" s="163">
        <f t="shared" si="3"/>
        <v>0</v>
      </c>
      <c r="G60" s="165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2"/>
        <v>0</v>
      </c>
      <c r="F61" s="163">
        <f t="shared" si="3"/>
        <v>0</v>
      </c>
      <c r="G61" s="165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2"/>
        <v>0</v>
      </c>
      <c r="F62" s="163">
        <f t="shared" si="3"/>
        <v>0</v>
      </c>
      <c r="G62" s="165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377">
        <f t="shared" si="4"/>
        <v>0</v>
      </c>
      <c r="H72" s="130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5059278</v>
      </c>
      <c r="F73" s="115"/>
      <c r="G73" s="115">
        <f>SUM(G17:G72)</f>
        <v>17805124.971463222</v>
      </c>
      <c r="H73" s="115">
        <f>SUM(H17:H72)</f>
        <v>17805124.971463222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16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714452.30434782605</v>
      </c>
      <c r="N87" s="202">
        <f>IF(J92&lt;D11,0,VLOOKUP(J92,C17:O72,11))</f>
        <v>714452.30434782605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718467.13067498105</v>
      </c>
      <c r="N88" s="204">
        <f>IF(J92&lt;D11,0,VLOOKUP(J92,C99:P154,7))</f>
        <v>718467.13067498105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Cornville Station Conversion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4014.8263271549949</v>
      </c>
      <c r="N89" s="207">
        <f>+N88-N87</f>
        <v>4014.8263271549949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TP2011093</v>
      </c>
      <c r="E91" s="210" t="str">
        <f>E9</f>
        <v xml:space="preserve">  SPP Project ID = 30346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5059278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2014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109984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>
        <f>IF(D93= "","-",D93)</f>
        <v>2014</v>
      </c>
      <c r="D99" s="436">
        <v>0</v>
      </c>
      <c r="E99" s="437">
        <v>0</v>
      </c>
      <c r="F99" s="438">
        <v>4992922.66</v>
      </c>
      <c r="G99" s="448">
        <v>2496461.33</v>
      </c>
      <c r="H99" s="449">
        <v>350992.25806989282</v>
      </c>
      <c r="I99" s="450">
        <v>350992.25806989282</v>
      </c>
      <c r="J99" s="162">
        <v>0</v>
      </c>
      <c r="K99" s="162"/>
      <c r="L99" s="338">
        <f>H99</f>
        <v>350992.25806989282</v>
      </c>
      <c r="M99" s="175">
        <f>IF(L99&lt;&gt;0,+H99-L99,0)</f>
        <v>0</v>
      </c>
      <c r="N99" s="338">
        <f>I99</f>
        <v>350992.25806989282</v>
      </c>
      <c r="O99" s="160">
        <f>IF(N99&lt;&gt;0,+I99-N99,0)</f>
        <v>0</v>
      </c>
      <c r="P99" s="162">
        <f>+O99-M99</f>
        <v>0</v>
      </c>
    </row>
    <row r="100" spans="1:16" ht="13.5" thickBot="1">
      <c r="B100" s="9" t="str">
        <f>IF(D100=F99,"","IU")</f>
        <v>IU</v>
      </c>
      <c r="C100" s="157">
        <f>IF(D93="","-",+C99+1)</f>
        <v>2015</v>
      </c>
      <c r="D100" s="436">
        <v>5071338</v>
      </c>
      <c r="E100" s="437">
        <v>97526</v>
      </c>
      <c r="F100" s="438">
        <v>4973812</v>
      </c>
      <c r="G100" s="448">
        <v>5022575</v>
      </c>
      <c r="H100" s="449">
        <v>782815.97525692882</v>
      </c>
      <c r="I100" s="450">
        <v>782815.97525692882</v>
      </c>
      <c r="J100" s="162">
        <f>+I100-H100</f>
        <v>0</v>
      </c>
      <c r="K100" s="162"/>
      <c r="L100" s="338">
        <f>H100</f>
        <v>782815.97525692882</v>
      </c>
      <c r="M100" s="175">
        <f>IF(L100&lt;&gt;0,+H100-L100,0)</f>
        <v>0</v>
      </c>
      <c r="N100" s="338">
        <f>I100</f>
        <v>782815.97525692882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>IU</v>
      </c>
      <c r="C101" s="157">
        <f>IF(D93="","-",+C100+1)</f>
        <v>2016</v>
      </c>
      <c r="D101" s="436">
        <v>4961752</v>
      </c>
      <c r="E101" s="437">
        <v>109984</v>
      </c>
      <c r="F101" s="438">
        <v>4851768</v>
      </c>
      <c r="G101" s="448">
        <v>4906760</v>
      </c>
      <c r="H101" s="449">
        <v>742542.63994670648</v>
      </c>
      <c r="I101" s="450">
        <v>742542.63994670648</v>
      </c>
      <c r="J101" s="162">
        <v>0</v>
      </c>
      <c r="K101" s="162"/>
      <c r="L101" s="338">
        <f>H101</f>
        <v>742542.63994670648</v>
      </c>
      <c r="M101" s="175">
        <f>IF(L101&lt;&gt;0,+H101-L101,0)</f>
        <v>0</v>
      </c>
      <c r="N101" s="338">
        <f>I101</f>
        <v>742542.63994670648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158">
        <f>IF(F101+SUM(E$99:E101)=D$92,F101,D$92-SUM(E$99:E101))</f>
        <v>4851768</v>
      </c>
      <c r="E102" s="164">
        <f t="shared" ref="E102:E154" si="10">IF(+J$96&lt;F101,J$96,D102)</f>
        <v>109984</v>
      </c>
      <c r="F102" s="163">
        <f t="shared" ref="F102:F154" si="11">+D102-E102</f>
        <v>4741784</v>
      </c>
      <c r="G102" s="163">
        <f t="shared" ref="G102:G154" si="12">+(F102+D102)/2</f>
        <v>4796776</v>
      </c>
      <c r="H102" s="167">
        <f t="shared" ref="H102:H154" si="13">+J$94*G102+E102</f>
        <v>718467.13067498105</v>
      </c>
      <c r="I102" s="317">
        <f t="shared" ref="I102:I154" si="14">+J$95*G102+E102</f>
        <v>718467.13067498105</v>
      </c>
      <c r="J102" s="162">
        <f t="shared" ref="J102:J154" si="15">+I102-H102</f>
        <v>0</v>
      </c>
      <c r="K102" s="162"/>
      <c r="L102" s="335"/>
      <c r="M102" s="162">
        <f t="shared" ref="M102:M130" si="16">IF(L102&lt;&gt;0,+H102-L102,0)</f>
        <v>0</v>
      </c>
      <c r="N102" s="335"/>
      <c r="O102" s="162">
        <f t="shared" ref="O102:O130" si="17">IF(N102&lt;&gt;0,+I102-N102,0)</f>
        <v>0</v>
      </c>
      <c r="P102" s="162">
        <f t="shared" ref="P102:P130" si="18"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4741784</v>
      </c>
      <c r="E103" s="164">
        <f t="shared" si="10"/>
        <v>109984</v>
      </c>
      <c r="F103" s="163">
        <f t="shared" si="11"/>
        <v>4631800</v>
      </c>
      <c r="G103" s="163">
        <f t="shared" si="12"/>
        <v>4686792</v>
      </c>
      <c r="H103" s="167">
        <f t="shared" si="13"/>
        <v>704515.38295022654</v>
      </c>
      <c r="I103" s="317">
        <f t="shared" si="14"/>
        <v>704515.38295022654</v>
      </c>
      <c r="J103" s="162">
        <f t="shared" si="15"/>
        <v>0</v>
      </c>
      <c r="K103" s="162"/>
      <c r="L103" s="335"/>
      <c r="M103" s="162">
        <f t="shared" si="16"/>
        <v>0</v>
      </c>
      <c r="N103" s="335"/>
      <c r="O103" s="162">
        <f t="shared" si="17"/>
        <v>0</v>
      </c>
      <c r="P103" s="162">
        <f t="shared" si="18"/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4631800</v>
      </c>
      <c r="E104" s="164">
        <f t="shared" si="10"/>
        <v>109984</v>
      </c>
      <c r="F104" s="163">
        <f t="shared" si="11"/>
        <v>4521816</v>
      </c>
      <c r="G104" s="163">
        <f t="shared" si="12"/>
        <v>4576808</v>
      </c>
      <c r="H104" s="167">
        <f t="shared" si="13"/>
        <v>690563.63522547204</v>
      </c>
      <c r="I104" s="317">
        <f t="shared" si="14"/>
        <v>690563.63522547204</v>
      </c>
      <c r="J104" s="162">
        <f t="shared" si="15"/>
        <v>0</v>
      </c>
      <c r="K104" s="162"/>
      <c r="L104" s="335"/>
      <c r="M104" s="162">
        <f t="shared" si="16"/>
        <v>0</v>
      </c>
      <c r="N104" s="335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4521816</v>
      </c>
      <c r="E105" s="164">
        <f t="shared" si="10"/>
        <v>109984</v>
      </c>
      <c r="F105" s="163">
        <f t="shared" si="11"/>
        <v>4411832</v>
      </c>
      <c r="G105" s="163">
        <f t="shared" si="12"/>
        <v>4466824</v>
      </c>
      <c r="H105" s="167">
        <f t="shared" si="13"/>
        <v>676611.88750071742</v>
      </c>
      <c r="I105" s="317">
        <f t="shared" si="14"/>
        <v>676611.88750071742</v>
      </c>
      <c r="J105" s="162">
        <f t="shared" si="15"/>
        <v>0</v>
      </c>
      <c r="K105" s="162"/>
      <c r="L105" s="335"/>
      <c r="M105" s="162">
        <f t="shared" si="16"/>
        <v>0</v>
      </c>
      <c r="N105" s="335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4411832</v>
      </c>
      <c r="E106" s="164">
        <f t="shared" si="10"/>
        <v>109984</v>
      </c>
      <c r="F106" s="163">
        <f t="shared" si="11"/>
        <v>4301848</v>
      </c>
      <c r="G106" s="163">
        <f t="shared" si="12"/>
        <v>4356840</v>
      </c>
      <c r="H106" s="167">
        <f t="shared" si="13"/>
        <v>662660.13977596292</v>
      </c>
      <c r="I106" s="317">
        <f t="shared" si="14"/>
        <v>662660.13977596292</v>
      </c>
      <c r="J106" s="162">
        <f t="shared" si="15"/>
        <v>0</v>
      </c>
      <c r="K106" s="162"/>
      <c r="L106" s="335"/>
      <c r="M106" s="162">
        <f t="shared" si="16"/>
        <v>0</v>
      </c>
      <c r="N106" s="335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4301848</v>
      </c>
      <c r="E107" s="164">
        <f t="shared" si="10"/>
        <v>109984</v>
      </c>
      <c r="F107" s="163">
        <f t="shared" si="11"/>
        <v>4191864</v>
      </c>
      <c r="G107" s="163">
        <f t="shared" si="12"/>
        <v>4246856</v>
      </c>
      <c r="H107" s="167">
        <f t="shared" si="13"/>
        <v>648708.39205120842</v>
      </c>
      <c r="I107" s="317">
        <f t="shared" si="14"/>
        <v>648708.39205120842</v>
      </c>
      <c r="J107" s="162">
        <f t="shared" si="15"/>
        <v>0</v>
      </c>
      <c r="K107" s="162"/>
      <c r="L107" s="335"/>
      <c r="M107" s="162">
        <f t="shared" si="16"/>
        <v>0</v>
      </c>
      <c r="N107" s="335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4191864</v>
      </c>
      <c r="E108" s="164">
        <f t="shared" si="10"/>
        <v>109984</v>
      </c>
      <c r="F108" s="163">
        <f t="shared" si="11"/>
        <v>4081880</v>
      </c>
      <c r="G108" s="163">
        <f t="shared" si="12"/>
        <v>4136872</v>
      </c>
      <c r="H108" s="167">
        <f t="shared" si="13"/>
        <v>634756.64432645391</v>
      </c>
      <c r="I108" s="317">
        <f t="shared" si="14"/>
        <v>634756.64432645391</v>
      </c>
      <c r="J108" s="162">
        <f t="shared" si="15"/>
        <v>0</v>
      </c>
      <c r="K108" s="162"/>
      <c r="L108" s="335"/>
      <c r="M108" s="162">
        <f t="shared" si="16"/>
        <v>0</v>
      </c>
      <c r="N108" s="335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4081880</v>
      </c>
      <c r="E109" s="164">
        <f t="shared" si="10"/>
        <v>109984</v>
      </c>
      <c r="F109" s="163">
        <f t="shared" si="11"/>
        <v>3971896</v>
      </c>
      <c r="G109" s="163">
        <f t="shared" si="12"/>
        <v>4026888</v>
      </c>
      <c r="H109" s="167">
        <f t="shared" si="13"/>
        <v>620804.89660169929</v>
      </c>
      <c r="I109" s="317">
        <f t="shared" si="14"/>
        <v>620804.89660169929</v>
      </c>
      <c r="J109" s="162">
        <f t="shared" si="15"/>
        <v>0</v>
      </c>
      <c r="K109" s="162"/>
      <c r="L109" s="335"/>
      <c r="M109" s="162">
        <f t="shared" si="16"/>
        <v>0</v>
      </c>
      <c r="N109" s="335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3971896</v>
      </c>
      <c r="E110" s="164">
        <f t="shared" si="10"/>
        <v>109984</v>
      </c>
      <c r="F110" s="163">
        <f t="shared" si="11"/>
        <v>3861912</v>
      </c>
      <c r="G110" s="163">
        <f t="shared" si="12"/>
        <v>3916904</v>
      </c>
      <c r="H110" s="167">
        <f t="shared" si="13"/>
        <v>606853.14887694479</v>
      </c>
      <c r="I110" s="317">
        <f t="shared" si="14"/>
        <v>606853.14887694479</v>
      </c>
      <c r="J110" s="162">
        <f t="shared" si="15"/>
        <v>0</v>
      </c>
      <c r="K110" s="162"/>
      <c r="L110" s="335"/>
      <c r="M110" s="162">
        <f t="shared" si="16"/>
        <v>0</v>
      </c>
      <c r="N110" s="335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3861912</v>
      </c>
      <c r="E111" s="164">
        <f t="shared" si="10"/>
        <v>109984</v>
      </c>
      <c r="F111" s="163">
        <f t="shared" si="11"/>
        <v>3751928</v>
      </c>
      <c r="G111" s="163">
        <f t="shared" si="12"/>
        <v>3806920</v>
      </c>
      <c r="H111" s="167">
        <f t="shared" si="13"/>
        <v>592901.40115219029</v>
      </c>
      <c r="I111" s="317">
        <f t="shared" si="14"/>
        <v>592901.40115219029</v>
      </c>
      <c r="J111" s="162">
        <f t="shared" si="15"/>
        <v>0</v>
      </c>
      <c r="K111" s="162"/>
      <c r="L111" s="335"/>
      <c r="M111" s="162">
        <f t="shared" si="16"/>
        <v>0</v>
      </c>
      <c r="N111" s="335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3751928</v>
      </c>
      <c r="E112" s="164">
        <f t="shared" si="10"/>
        <v>109984</v>
      </c>
      <c r="F112" s="163">
        <f t="shared" si="11"/>
        <v>3641944</v>
      </c>
      <c r="G112" s="163">
        <f t="shared" si="12"/>
        <v>3696936</v>
      </c>
      <c r="H112" s="167">
        <f t="shared" si="13"/>
        <v>578949.65342743578</v>
      </c>
      <c r="I112" s="317">
        <f t="shared" si="14"/>
        <v>578949.65342743578</v>
      </c>
      <c r="J112" s="162">
        <f t="shared" si="15"/>
        <v>0</v>
      </c>
      <c r="K112" s="162"/>
      <c r="L112" s="335"/>
      <c r="M112" s="162">
        <f t="shared" si="16"/>
        <v>0</v>
      </c>
      <c r="N112" s="335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3641944</v>
      </c>
      <c r="E113" s="164">
        <f t="shared" si="10"/>
        <v>109984</v>
      </c>
      <c r="F113" s="163">
        <f t="shared" si="11"/>
        <v>3531960</v>
      </c>
      <c r="G113" s="163">
        <f t="shared" si="12"/>
        <v>3586952</v>
      </c>
      <c r="H113" s="167">
        <f t="shared" si="13"/>
        <v>564997.90570268128</v>
      </c>
      <c r="I113" s="317">
        <f t="shared" si="14"/>
        <v>564997.90570268128</v>
      </c>
      <c r="J113" s="162">
        <f t="shared" si="15"/>
        <v>0</v>
      </c>
      <c r="K113" s="162"/>
      <c r="L113" s="335"/>
      <c r="M113" s="162">
        <f t="shared" si="16"/>
        <v>0</v>
      </c>
      <c r="N113" s="335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3531960</v>
      </c>
      <c r="E114" s="164">
        <f t="shared" si="10"/>
        <v>109984</v>
      </c>
      <c r="F114" s="163">
        <f t="shared" si="11"/>
        <v>3421976</v>
      </c>
      <c r="G114" s="163">
        <f t="shared" si="12"/>
        <v>3476968</v>
      </c>
      <c r="H114" s="167">
        <f t="shared" si="13"/>
        <v>551046.15797792678</v>
      </c>
      <c r="I114" s="317">
        <f t="shared" si="14"/>
        <v>551046.15797792678</v>
      </c>
      <c r="J114" s="162">
        <f t="shared" si="15"/>
        <v>0</v>
      </c>
      <c r="K114" s="162"/>
      <c r="L114" s="335"/>
      <c r="M114" s="162">
        <f t="shared" si="16"/>
        <v>0</v>
      </c>
      <c r="N114" s="335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3421976</v>
      </c>
      <c r="E115" s="164">
        <f t="shared" si="10"/>
        <v>109984</v>
      </c>
      <c r="F115" s="163">
        <f t="shared" si="11"/>
        <v>3311992</v>
      </c>
      <c r="G115" s="163">
        <f t="shared" si="12"/>
        <v>3366984</v>
      </c>
      <c r="H115" s="167">
        <f t="shared" si="13"/>
        <v>537094.41025317227</v>
      </c>
      <c r="I115" s="317">
        <f t="shared" si="14"/>
        <v>537094.41025317227</v>
      </c>
      <c r="J115" s="162">
        <f t="shared" si="15"/>
        <v>0</v>
      </c>
      <c r="K115" s="162"/>
      <c r="L115" s="335"/>
      <c r="M115" s="162">
        <f t="shared" si="16"/>
        <v>0</v>
      </c>
      <c r="N115" s="335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3311992</v>
      </c>
      <c r="E116" s="164">
        <f t="shared" si="10"/>
        <v>109984</v>
      </c>
      <c r="F116" s="163">
        <f t="shared" si="11"/>
        <v>3202008</v>
      </c>
      <c r="G116" s="163">
        <f t="shared" si="12"/>
        <v>3257000</v>
      </c>
      <c r="H116" s="167">
        <f t="shared" si="13"/>
        <v>523142.66252841771</v>
      </c>
      <c r="I116" s="317">
        <f t="shared" si="14"/>
        <v>523142.66252841771</v>
      </c>
      <c r="J116" s="162">
        <f t="shared" si="15"/>
        <v>0</v>
      </c>
      <c r="K116" s="162"/>
      <c r="L116" s="335"/>
      <c r="M116" s="162">
        <f t="shared" si="16"/>
        <v>0</v>
      </c>
      <c r="N116" s="335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3202008</v>
      </c>
      <c r="E117" s="164">
        <f t="shared" si="10"/>
        <v>109984</v>
      </c>
      <c r="F117" s="163">
        <f t="shared" si="11"/>
        <v>3092024</v>
      </c>
      <c r="G117" s="163">
        <f t="shared" si="12"/>
        <v>3147016</v>
      </c>
      <c r="H117" s="167">
        <f t="shared" si="13"/>
        <v>509190.91480366315</v>
      </c>
      <c r="I117" s="317">
        <f t="shared" si="14"/>
        <v>509190.91480366315</v>
      </c>
      <c r="J117" s="162">
        <f t="shared" si="15"/>
        <v>0</v>
      </c>
      <c r="K117" s="162"/>
      <c r="L117" s="335"/>
      <c r="M117" s="162">
        <f t="shared" si="16"/>
        <v>0</v>
      </c>
      <c r="N117" s="335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3092024</v>
      </c>
      <c r="E118" s="164">
        <f t="shared" si="10"/>
        <v>109984</v>
      </c>
      <c r="F118" s="163">
        <f t="shared" si="11"/>
        <v>2982040</v>
      </c>
      <c r="G118" s="163">
        <f t="shared" si="12"/>
        <v>3037032</v>
      </c>
      <c r="H118" s="167">
        <f t="shared" si="13"/>
        <v>495239.16707890865</v>
      </c>
      <c r="I118" s="317">
        <f t="shared" si="14"/>
        <v>495239.16707890865</v>
      </c>
      <c r="J118" s="162">
        <f t="shared" si="15"/>
        <v>0</v>
      </c>
      <c r="K118" s="162"/>
      <c r="L118" s="335"/>
      <c r="M118" s="162">
        <f t="shared" si="16"/>
        <v>0</v>
      </c>
      <c r="N118" s="335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2982040</v>
      </c>
      <c r="E119" s="164">
        <f t="shared" si="10"/>
        <v>109984</v>
      </c>
      <c r="F119" s="163">
        <f t="shared" si="11"/>
        <v>2872056</v>
      </c>
      <c r="G119" s="163">
        <f t="shared" si="12"/>
        <v>2927048</v>
      </c>
      <c r="H119" s="167">
        <f t="shared" si="13"/>
        <v>481287.41935415409</v>
      </c>
      <c r="I119" s="317">
        <f t="shared" si="14"/>
        <v>481287.41935415409</v>
      </c>
      <c r="J119" s="162">
        <f t="shared" si="15"/>
        <v>0</v>
      </c>
      <c r="K119" s="162"/>
      <c r="L119" s="335"/>
      <c r="M119" s="162">
        <f t="shared" si="16"/>
        <v>0</v>
      </c>
      <c r="N119" s="335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2872056</v>
      </c>
      <c r="E120" s="164">
        <f t="shared" si="10"/>
        <v>109984</v>
      </c>
      <c r="F120" s="163">
        <f t="shared" si="11"/>
        <v>2762072</v>
      </c>
      <c r="G120" s="163">
        <f t="shared" si="12"/>
        <v>2817064</v>
      </c>
      <c r="H120" s="167">
        <f t="shared" si="13"/>
        <v>467335.67162939959</v>
      </c>
      <c r="I120" s="317">
        <f t="shared" si="14"/>
        <v>467335.67162939959</v>
      </c>
      <c r="J120" s="162">
        <f t="shared" si="15"/>
        <v>0</v>
      </c>
      <c r="K120" s="162"/>
      <c r="L120" s="335"/>
      <c r="M120" s="162">
        <f t="shared" si="16"/>
        <v>0</v>
      </c>
      <c r="N120" s="335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2762072</v>
      </c>
      <c r="E121" s="164">
        <f t="shared" si="10"/>
        <v>109984</v>
      </c>
      <c r="F121" s="163">
        <f t="shared" si="11"/>
        <v>2652088</v>
      </c>
      <c r="G121" s="163">
        <f t="shared" si="12"/>
        <v>2707080</v>
      </c>
      <c r="H121" s="167">
        <f t="shared" si="13"/>
        <v>453383.92390464508</v>
      </c>
      <c r="I121" s="317">
        <f t="shared" si="14"/>
        <v>453383.92390464508</v>
      </c>
      <c r="J121" s="162">
        <f t="shared" si="15"/>
        <v>0</v>
      </c>
      <c r="K121" s="162"/>
      <c r="L121" s="335"/>
      <c r="M121" s="162">
        <f t="shared" si="16"/>
        <v>0</v>
      </c>
      <c r="N121" s="335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2652088</v>
      </c>
      <c r="E122" s="164">
        <f t="shared" si="10"/>
        <v>109984</v>
      </c>
      <c r="F122" s="163">
        <f t="shared" si="11"/>
        <v>2542104</v>
      </c>
      <c r="G122" s="163">
        <f t="shared" si="12"/>
        <v>2597096</v>
      </c>
      <c r="H122" s="167">
        <f t="shared" si="13"/>
        <v>439432.17617989052</v>
      </c>
      <c r="I122" s="317">
        <f t="shared" si="14"/>
        <v>439432.17617989052</v>
      </c>
      <c r="J122" s="162">
        <f t="shared" si="15"/>
        <v>0</v>
      </c>
      <c r="K122" s="162"/>
      <c r="L122" s="335"/>
      <c r="M122" s="162">
        <f t="shared" si="16"/>
        <v>0</v>
      </c>
      <c r="N122" s="335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2542104</v>
      </c>
      <c r="E123" s="164">
        <f t="shared" si="10"/>
        <v>109984</v>
      </c>
      <c r="F123" s="163">
        <f t="shared" si="11"/>
        <v>2432120</v>
      </c>
      <c r="G123" s="163">
        <f t="shared" si="12"/>
        <v>2487112</v>
      </c>
      <c r="H123" s="167">
        <f t="shared" si="13"/>
        <v>425480.42845513602</v>
      </c>
      <c r="I123" s="317">
        <f t="shared" si="14"/>
        <v>425480.42845513602</v>
      </c>
      <c r="J123" s="162">
        <f t="shared" si="15"/>
        <v>0</v>
      </c>
      <c r="K123" s="162"/>
      <c r="L123" s="335"/>
      <c r="M123" s="162">
        <f t="shared" si="16"/>
        <v>0</v>
      </c>
      <c r="N123" s="335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2432120</v>
      </c>
      <c r="E124" s="164">
        <f t="shared" si="10"/>
        <v>109984</v>
      </c>
      <c r="F124" s="163">
        <f t="shared" si="11"/>
        <v>2322136</v>
      </c>
      <c r="G124" s="163">
        <f t="shared" si="12"/>
        <v>2377128</v>
      </c>
      <c r="H124" s="167">
        <f t="shared" si="13"/>
        <v>411528.68073038146</v>
      </c>
      <c r="I124" s="317">
        <f t="shared" si="14"/>
        <v>411528.68073038146</v>
      </c>
      <c r="J124" s="162">
        <f t="shared" si="15"/>
        <v>0</v>
      </c>
      <c r="K124" s="162"/>
      <c r="L124" s="335"/>
      <c r="M124" s="162">
        <f t="shared" si="16"/>
        <v>0</v>
      </c>
      <c r="N124" s="335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2322136</v>
      </c>
      <c r="E125" s="164">
        <f t="shared" si="10"/>
        <v>109984</v>
      </c>
      <c r="F125" s="163">
        <f t="shared" si="11"/>
        <v>2212152</v>
      </c>
      <c r="G125" s="163">
        <f t="shared" si="12"/>
        <v>2267144</v>
      </c>
      <c r="H125" s="167">
        <f t="shared" si="13"/>
        <v>397576.93300562695</v>
      </c>
      <c r="I125" s="317">
        <f t="shared" si="14"/>
        <v>397576.93300562695</v>
      </c>
      <c r="J125" s="162">
        <f t="shared" si="15"/>
        <v>0</v>
      </c>
      <c r="K125" s="162"/>
      <c r="L125" s="335"/>
      <c r="M125" s="162">
        <f t="shared" si="16"/>
        <v>0</v>
      </c>
      <c r="N125" s="335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2212152</v>
      </c>
      <c r="E126" s="164">
        <f t="shared" si="10"/>
        <v>109984</v>
      </c>
      <c r="F126" s="163">
        <f t="shared" si="11"/>
        <v>2102168</v>
      </c>
      <c r="G126" s="163">
        <f t="shared" si="12"/>
        <v>2157160</v>
      </c>
      <c r="H126" s="167">
        <f t="shared" si="13"/>
        <v>383625.18528087245</v>
      </c>
      <c r="I126" s="317">
        <f t="shared" si="14"/>
        <v>383625.18528087245</v>
      </c>
      <c r="J126" s="162">
        <f t="shared" si="15"/>
        <v>0</v>
      </c>
      <c r="K126" s="162"/>
      <c r="L126" s="335"/>
      <c r="M126" s="162">
        <f t="shared" si="16"/>
        <v>0</v>
      </c>
      <c r="N126" s="335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2102168</v>
      </c>
      <c r="E127" s="164">
        <f t="shared" si="10"/>
        <v>109984</v>
      </c>
      <c r="F127" s="163">
        <f t="shared" si="11"/>
        <v>1992184</v>
      </c>
      <c r="G127" s="163">
        <f t="shared" si="12"/>
        <v>2047176</v>
      </c>
      <c r="H127" s="167">
        <f t="shared" si="13"/>
        <v>369673.43755611789</v>
      </c>
      <c r="I127" s="317">
        <f t="shared" si="14"/>
        <v>369673.43755611789</v>
      </c>
      <c r="J127" s="162">
        <f t="shared" si="15"/>
        <v>0</v>
      </c>
      <c r="K127" s="162"/>
      <c r="L127" s="335"/>
      <c r="M127" s="162">
        <f t="shared" si="16"/>
        <v>0</v>
      </c>
      <c r="N127" s="335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1992184</v>
      </c>
      <c r="E128" s="164">
        <f t="shared" si="10"/>
        <v>109984</v>
      </c>
      <c r="F128" s="163">
        <f t="shared" si="11"/>
        <v>1882200</v>
      </c>
      <c r="G128" s="163">
        <f t="shared" si="12"/>
        <v>1937192</v>
      </c>
      <c r="H128" s="167">
        <f t="shared" si="13"/>
        <v>355721.68983136339</v>
      </c>
      <c r="I128" s="317">
        <f t="shared" si="14"/>
        <v>355721.68983136339</v>
      </c>
      <c r="J128" s="162">
        <f t="shared" si="15"/>
        <v>0</v>
      </c>
      <c r="K128" s="162"/>
      <c r="L128" s="335"/>
      <c r="M128" s="162">
        <f t="shared" si="16"/>
        <v>0</v>
      </c>
      <c r="N128" s="335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1882200</v>
      </c>
      <c r="E129" s="164">
        <f t="shared" si="10"/>
        <v>109984</v>
      </c>
      <c r="F129" s="163">
        <f t="shared" si="11"/>
        <v>1772216</v>
      </c>
      <c r="G129" s="163">
        <f t="shared" si="12"/>
        <v>1827208</v>
      </c>
      <c r="H129" s="167">
        <f t="shared" si="13"/>
        <v>341769.94210660888</v>
      </c>
      <c r="I129" s="317">
        <f t="shared" si="14"/>
        <v>341769.94210660888</v>
      </c>
      <c r="J129" s="162">
        <f t="shared" si="15"/>
        <v>0</v>
      </c>
      <c r="K129" s="162"/>
      <c r="L129" s="335"/>
      <c r="M129" s="162">
        <f t="shared" si="16"/>
        <v>0</v>
      </c>
      <c r="N129" s="335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1772216</v>
      </c>
      <c r="E130" s="164">
        <f t="shared" si="10"/>
        <v>109984</v>
      </c>
      <c r="F130" s="163">
        <f t="shared" si="11"/>
        <v>1662232</v>
      </c>
      <c r="G130" s="163">
        <f t="shared" si="12"/>
        <v>1717224</v>
      </c>
      <c r="H130" s="167">
        <f t="shared" si="13"/>
        <v>327818.19438185432</v>
      </c>
      <c r="I130" s="317">
        <f t="shared" si="14"/>
        <v>327818.19438185432</v>
      </c>
      <c r="J130" s="162">
        <f t="shared" si="15"/>
        <v>0</v>
      </c>
      <c r="K130" s="162"/>
      <c r="L130" s="335"/>
      <c r="M130" s="162">
        <f t="shared" si="16"/>
        <v>0</v>
      </c>
      <c r="N130" s="335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1662232</v>
      </c>
      <c r="E131" s="164">
        <f t="shared" si="10"/>
        <v>109984</v>
      </c>
      <c r="F131" s="163">
        <f t="shared" si="11"/>
        <v>1552248</v>
      </c>
      <c r="G131" s="163">
        <f t="shared" si="12"/>
        <v>1607240</v>
      </c>
      <c r="H131" s="167">
        <f t="shared" si="13"/>
        <v>313866.44665709976</v>
      </c>
      <c r="I131" s="317">
        <f t="shared" si="14"/>
        <v>313866.44665709976</v>
      </c>
      <c r="J131" s="162">
        <f t="shared" si="15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1552248</v>
      </c>
      <c r="E132" s="164">
        <f t="shared" si="10"/>
        <v>109984</v>
      </c>
      <c r="F132" s="163">
        <f t="shared" si="11"/>
        <v>1442264</v>
      </c>
      <c r="G132" s="163">
        <f t="shared" si="12"/>
        <v>1497256</v>
      </c>
      <c r="H132" s="167">
        <f t="shared" si="13"/>
        <v>299914.69893234526</v>
      </c>
      <c r="I132" s="317">
        <f t="shared" si="14"/>
        <v>299914.69893234526</v>
      </c>
      <c r="J132" s="162">
        <f t="shared" si="15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1442264</v>
      </c>
      <c r="E133" s="164">
        <f t="shared" si="10"/>
        <v>109984</v>
      </c>
      <c r="F133" s="163">
        <f t="shared" si="11"/>
        <v>1332280</v>
      </c>
      <c r="G133" s="163">
        <f t="shared" si="12"/>
        <v>1387272</v>
      </c>
      <c r="H133" s="167">
        <f t="shared" si="13"/>
        <v>285962.95120759076</v>
      </c>
      <c r="I133" s="317">
        <f t="shared" si="14"/>
        <v>285962.95120759076</v>
      </c>
      <c r="J133" s="162">
        <f t="shared" si="15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1332280</v>
      </c>
      <c r="E134" s="164">
        <f t="shared" si="10"/>
        <v>109984</v>
      </c>
      <c r="F134" s="163">
        <f t="shared" si="11"/>
        <v>1222296</v>
      </c>
      <c r="G134" s="163">
        <f t="shared" si="12"/>
        <v>1277288</v>
      </c>
      <c r="H134" s="167">
        <f t="shared" si="13"/>
        <v>272011.20348283625</v>
      </c>
      <c r="I134" s="317">
        <f t="shared" si="14"/>
        <v>272011.20348283625</v>
      </c>
      <c r="J134" s="162">
        <f t="shared" si="15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1222296</v>
      </c>
      <c r="E135" s="164">
        <f t="shared" si="10"/>
        <v>109984</v>
      </c>
      <c r="F135" s="163">
        <f t="shared" si="11"/>
        <v>1112312</v>
      </c>
      <c r="G135" s="163">
        <f t="shared" si="12"/>
        <v>1167304</v>
      </c>
      <c r="H135" s="167">
        <f t="shared" si="13"/>
        <v>258059.45575808169</v>
      </c>
      <c r="I135" s="317">
        <f t="shared" si="14"/>
        <v>258059.45575808169</v>
      </c>
      <c r="J135" s="162">
        <f t="shared" si="15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1112312</v>
      </c>
      <c r="E136" s="164">
        <f t="shared" si="10"/>
        <v>109984</v>
      </c>
      <c r="F136" s="163">
        <f t="shared" si="11"/>
        <v>1002328</v>
      </c>
      <c r="G136" s="163">
        <f t="shared" si="12"/>
        <v>1057320</v>
      </c>
      <c r="H136" s="167">
        <f t="shared" si="13"/>
        <v>244107.70803332716</v>
      </c>
      <c r="I136" s="317">
        <f t="shared" si="14"/>
        <v>244107.70803332716</v>
      </c>
      <c r="J136" s="162">
        <f t="shared" si="15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1002328</v>
      </c>
      <c r="E137" s="164">
        <f t="shared" si="10"/>
        <v>109984</v>
      </c>
      <c r="F137" s="163">
        <f t="shared" si="11"/>
        <v>892344</v>
      </c>
      <c r="G137" s="163">
        <f t="shared" si="12"/>
        <v>947336</v>
      </c>
      <c r="H137" s="167">
        <f t="shared" si="13"/>
        <v>230155.96030857263</v>
      </c>
      <c r="I137" s="317">
        <f t="shared" si="14"/>
        <v>230155.96030857263</v>
      </c>
      <c r="J137" s="162">
        <f t="shared" si="15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892344</v>
      </c>
      <c r="E138" s="164">
        <f t="shared" si="10"/>
        <v>109984</v>
      </c>
      <c r="F138" s="163">
        <f t="shared" si="11"/>
        <v>782360</v>
      </c>
      <c r="G138" s="163">
        <f t="shared" si="12"/>
        <v>837352</v>
      </c>
      <c r="H138" s="167">
        <f t="shared" si="13"/>
        <v>216204.21258381812</v>
      </c>
      <c r="I138" s="317">
        <f t="shared" si="14"/>
        <v>216204.21258381812</v>
      </c>
      <c r="J138" s="162">
        <f t="shared" si="15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782360</v>
      </c>
      <c r="E139" s="164">
        <f t="shared" si="10"/>
        <v>109984</v>
      </c>
      <c r="F139" s="163">
        <f t="shared" si="11"/>
        <v>672376</v>
      </c>
      <c r="G139" s="163">
        <f t="shared" si="12"/>
        <v>727368</v>
      </c>
      <c r="H139" s="167">
        <f t="shared" si="13"/>
        <v>202252.46485906359</v>
      </c>
      <c r="I139" s="317">
        <f t="shared" si="14"/>
        <v>202252.46485906359</v>
      </c>
      <c r="J139" s="162">
        <f t="shared" si="15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672376</v>
      </c>
      <c r="E140" s="164">
        <f t="shared" si="10"/>
        <v>109984</v>
      </c>
      <c r="F140" s="163">
        <f t="shared" si="11"/>
        <v>562392</v>
      </c>
      <c r="G140" s="163">
        <f t="shared" si="12"/>
        <v>617384</v>
      </c>
      <c r="H140" s="167">
        <f t="shared" si="13"/>
        <v>188300.71713430906</v>
      </c>
      <c r="I140" s="317">
        <f t="shared" si="14"/>
        <v>188300.71713430906</v>
      </c>
      <c r="J140" s="162">
        <f t="shared" si="15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562392</v>
      </c>
      <c r="E141" s="164">
        <f t="shared" si="10"/>
        <v>109984</v>
      </c>
      <c r="F141" s="163">
        <f t="shared" si="11"/>
        <v>452408</v>
      </c>
      <c r="G141" s="163">
        <f t="shared" si="12"/>
        <v>507400</v>
      </c>
      <c r="H141" s="167">
        <f t="shared" si="13"/>
        <v>174348.96940955456</v>
      </c>
      <c r="I141" s="317">
        <f t="shared" si="14"/>
        <v>174348.96940955456</v>
      </c>
      <c r="J141" s="162">
        <f t="shared" si="15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452408</v>
      </c>
      <c r="E142" s="164">
        <f t="shared" si="10"/>
        <v>109984</v>
      </c>
      <c r="F142" s="163">
        <f t="shared" si="11"/>
        <v>342424</v>
      </c>
      <c r="G142" s="163">
        <f t="shared" si="12"/>
        <v>397416</v>
      </c>
      <c r="H142" s="167">
        <f t="shared" si="13"/>
        <v>160397.22168480002</v>
      </c>
      <c r="I142" s="317">
        <f t="shared" si="14"/>
        <v>160397.22168480002</v>
      </c>
      <c r="J142" s="162">
        <f t="shared" si="15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342424</v>
      </c>
      <c r="E143" s="164">
        <f t="shared" si="10"/>
        <v>109984</v>
      </c>
      <c r="F143" s="163">
        <f t="shared" si="11"/>
        <v>232440</v>
      </c>
      <c r="G143" s="163">
        <f t="shared" si="12"/>
        <v>287432</v>
      </c>
      <c r="H143" s="167">
        <f t="shared" si="13"/>
        <v>146445.47396004549</v>
      </c>
      <c r="I143" s="317">
        <f t="shared" si="14"/>
        <v>146445.47396004549</v>
      </c>
      <c r="J143" s="162">
        <f t="shared" si="15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232440</v>
      </c>
      <c r="E144" s="164">
        <f t="shared" si="10"/>
        <v>109984</v>
      </c>
      <c r="F144" s="163">
        <f t="shared" si="11"/>
        <v>122456</v>
      </c>
      <c r="G144" s="163">
        <f t="shared" si="12"/>
        <v>177448</v>
      </c>
      <c r="H144" s="167">
        <f t="shared" si="13"/>
        <v>132493.72623529096</v>
      </c>
      <c r="I144" s="317">
        <f t="shared" si="14"/>
        <v>132493.72623529096</v>
      </c>
      <c r="J144" s="162">
        <f t="shared" si="15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122456</v>
      </c>
      <c r="E145" s="164">
        <f t="shared" si="10"/>
        <v>109984</v>
      </c>
      <c r="F145" s="163">
        <f t="shared" si="11"/>
        <v>12472</v>
      </c>
      <c r="G145" s="163">
        <f t="shared" si="12"/>
        <v>67464</v>
      </c>
      <c r="H145" s="167">
        <f t="shared" si="13"/>
        <v>118541.97851053643</v>
      </c>
      <c r="I145" s="317">
        <f t="shared" si="14"/>
        <v>118541.97851053643</v>
      </c>
      <c r="J145" s="162">
        <f t="shared" si="15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12472</v>
      </c>
      <c r="E146" s="164">
        <f t="shared" si="10"/>
        <v>12472</v>
      </c>
      <c r="F146" s="163">
        <f t="shared" si="11"/>
        <v>0</v>
      </c>
      <c r="G146" s="163">
        <f t="shared" si="12"/>
        <v>6236</v>
      </c>
      <c r="H146" s="167">
        <f t="shared" si="13"/>
        <v>13263.052324079586</v>
      </c>
      <c r="I146" s="317">
        <f t="shared" si="14"/>
        <v>13263.052324079586</v>
      </c>
      <c r="J146" s="162">
        <f t="shared" si="15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0"/>
        <v>0</v>
      </c>
      <c r="F147" s="163">
        <f t="shared" si="11"/>
        <v>0</v>
      </c>
      <c r="G147" s="163">
        <f t="shared" si="12"/>
        <v>0</v>
      </c>
      <c r="H147" s="167">
        <f t="shared" si="13"/>
        <v>0</v>
      </c>
      <c r="I147" s="317">
        <f t="shared" si="14"/>
        <v>0</v>
      </c>
      <c r="J147" s="162">
        <f t="shared" si="15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0"/>
        <v>0</v>
      </c>
      <c r="F148" s="163">
        <f t="shared" si="11"/>
        <v>0</v>
      </c>
      <c r="G148" s="163">
        <f t="shared" si="12"/>
        <v>0</v>
      </c>
      <c r="H148" s="167">
        <f t="shared" si="13"/>
        <v>0</v>
      </c>
      <c r="I148" s="317">
        <f t="shared" si="14"/>
        <v>0</v>
      </c>
      <c r="J148" s="162">
        <f t="shared" si="15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0"/>
        <v>0</v>
      </c>
      <c r="F149" s="163">
        <f t="shared" si="11"/>
        <v>0</v>
      </c>
      <c r="G149" s="163">
        <f t="shared" si="12"/>
        <v>0</v>
      </c>
      <c r="H149" s="167">
        <f t="shared" si="13"/>
        <v>0</v>
      </c>
      <c r="I149" s="317">
        <f t="shared" si="14"/>
        <v>0</v>
      </c>
      <c r="J149" s="162">
        <f t="shared" si="15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0"/>
        <v>0</v>
      </c>
      <c r="F150" s="163">
        <f t="shared" si="11"/>
        <v>0</v>
      </c>
      <c r="G150" s="163">
        <f t="shared" si="12"/>
        <v>0</v>
      </c>
      <c r="H150" s="167">
        <f t="shared" si="13"/>
        <v>0</v>
      </c>
      <c r="I150" s="317">
        <f t="shared" si="14"/>
        <v>0</v>
      </c>
      <c r="J150" s="162">
        <f t="shared" si="15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0"/>
        <v>0</v>
      </c>
      <c r="F151" s="163">
        <f t="shared" si="11"/>
        <v>0</v>
      </c>
      <c r="G151" s="163">
        <f t="shared" si="12"/>
        <v>0</v>
      </c>
      <c r="H151" s="167">
        <f t="shared" si="13"/>
        <v>0</v>
      </c>
      <c r="I151" s="317">
        <f t="shared" si="14"/>
        <v>0</v>
      </c>
      <c r="J151" s="162">
        <f t="shared" si="15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0"/>
        <v>0</v>
      </c>
      <c r="F152" s="163">
        <f t="shared" si="11"/>
        <v>0</v>
      </c>
      <c r="G152" s="163">
        <f t="shared" si="12"/>
        <v>0</v>
      </c>
      <c r="H152" s="167">
        <f t="shared" si="13"/>
        <v>0</v>
      </c>
      <c r="I152" s="317">
        <f t="shared" si="14"/>
        <v>0</v>
      </c>
      <c r="J152" s="162">
        <f t="shared" si="15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0"/>
        <v>0</v>
      </c>
      <c r="F153" s="163">
        <f t="shared" si="11"/>
        <v>0</v>
      </c>
      <c r="G153" s="163">
        <f t="shared" si="12"/>
        <v>0</v>
      </c>
      <c r="H153" s="167">
        <f t="shared" si="13"/>
        <v>0</v>
      </c>
      <c r="I153" s="317">
        <f t="shared" si="14"/>
        <v>0</v>
      </c>
      <c r="J153" s="162">
        <f t="shared" si="15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0"/>
        <v>0</v>
      </c>
      <c r="F154" s="163">
        <f t="shared" si="11"/>
        <v>0</v>
      </c>
      <c r="G154" s="163">
        <f t="shared" si="12"/>
        <v>0</v>
      </c>
      <c r="H154" s="167">
        <f t="shared" si="13"/>
        <v>0</v>
      </c>
      <c r="I154" s="317">
        <f t="shared" si="14"/>
        <v>0</v>
      </c>
      <c r="J154" s="162">
        <f t="shared" si="15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5059278</v>
      </c>
      <c r="F155" s="115"/>
      <c r="G155" s="115"/>
      <c r="H155" s="115">
        <f>SUM(H99:H154)</f>
        <v>20303814.327678986</v>
      </c>
      <c r="I155" s="115">
        <f>SUM(I99:I154)</f>
        <v>20303814.327678986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zoomScale="90" zoomScaleNormal="100" zoomScaleSheetLayoutView="90" workbookViewId="0">
      <selection sqref="A1:J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16.140625" customWidth="1"/>
    <col min="10" max="10" width="2.1406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3.5703125" bestFit="1" customWidth="1"/>
    <col min="17" max="17" width="4.7109375" customWidth="1"/>
    <col min="18" max="18" width="15.42578125" customWidth="1"/>
    <col min="19" max="19" width="81.85546875" bestFit="1" customWidth="1"/>
    <col min="23" max="23" width="9.140625" customWidth="1"/>
  </cols>
  <sheetData>
    <row r="1" spans="1:18" ht="18">
      <c r="A1" s="504" t="s">
        <v>118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8" ht="18">
      <c r="A2" s="506" t="str">
        <f>L19&amp;" Cost of Service Formula Rate Projected on "&amp;L19-1&amp;" FF1 Balances"</f>
        <v>2019 Cost of Service Formula Rate Projected on 2018 FF1 Balances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8" ht="18">
      <c r="A3" s="507" t="s">
        <v>135</v>
      </c>
      <c r="B3" s="506"/>
      <c r="C3" s="506"/>
      <c r="D3" s="506"/>
      <c r="E3" s="506"/>
      <c r="F3" s="506"/>
      <c r="G3" s="506"/>
      <c r="H3" s="506"/>
      <c r="I3" s="506"/>
      <c r="J3" s="506"/>
      <c r="Q3" s="240" t="s">
        <v>120</v>
      </c>
    </row>
    <row r="4" spans="1:18" ht="18">
      <c r="A4" s="506" t="str">
        <f>"Based on a Carrying Charge Derived from ""Historic"" "&amp;L19-1&amp;" Data"</f>
        <v>Based on a Carrying Charge Derived from "Historic" 2018 Data</v>
      </c>
      <c r="B4" s="506"/>
      <c r="C4" s="506"/>
      <c r="D4" s="506"/>
      <c r="E4" s="506"/>
      <c r="F4" s="506"/>
      <c r="G4" s="506"/>
      <c r="H4" s="506"/>
      <c r="I4" s="506"/>
      <c r="J4" s="506"/>
    </row>
    <row r="5" spans="1:18" ht="18">
      <c r="A5" s="508" t="s">
        <v>119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8">
      <c r="A6" s="1"/>
      <c r="B6" s="1"/>
      <c r="C6" s="1"/>
      <c r="D6" s="2"/>
      <c r="E6" s="1"/>
      <c r="F6" s="1"/>
      <c r="G6" s="1"/>
      <c r="H6" s="3"/>
      <c r="I6" s="1"/>
      <c r="J6" s="4"/>
    </row>
    <row r="7" spans="1:18">
      <c r="D7" s="9"/>
      <c r="H7" s="10"/>
      <c r="J7" s="7"/>
    </row>
    <row r="8" spans="1:18" ht="38.25" customHeight="1">
      <c r="B8" s="463" t="s">
        <v>0</v>
      </c>
      <c r="C8" s="500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501"/>
      <c r="E8" s="501"/>
      <c r="F8" s="501"/>
      <c r="G8" s="501"/>
      <c r="H8" s="501"/>
      <c r="J8" s="7"/>
      <c r="R8" s="348"/>
    </row>
    <row r="9" spans="1:18">
      <c r="D9" s="9"/>
      <c r="H9" s="10"/>
      <c r="J9" s="7"/>
    </row>
    <row r="10" spans="1:18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H10" s="10"/>
      <c r="J10" s="7"/>
      <c r="K10" s="101"/>
      <c r="L10" s="231"/>
    </row>
    <row r="11" spans="1:18">
      <c r="D11" s="9"/>
      <c r="H11" s="10"/>
      <c r="J11" s="7"/>
    </row>
    <row r="12" spans="1:18">
      <c r="C12" s="11" t="str">
        <f>S105</f>
        <v xml:space="preserve">   ROE w/o incentives  (TCOS, ln 141)</v>
      </c>
      <c r="D12" s="9"/>
      <c r="E12" s="12"/>
      <c r="F12" s="13">
        <f>+R105</f>
        <v>0.105</v>
      </c>
      <c r="G12" s="14"/>
      <c r="H12" s="15"/>
      <c r="I12" s="16"/>
      <c r="J12" s="17"/>
      <c r="K12" s="16"/>
      <c r="L12" s="16"/>
      <c r="M12" s="16"/>
      <c r="N12" s="16"/>
      <c r="O12" s="12"/>
      <c r="P12" s="16"/>
      <c r="Q12" s="1"/>
    </row>
    <row r="13" spans="1:18">
      <c r="C13" s="11" t="s">
        <v>1</v>
      </c>
      <c r="D13" s="9"/>
      <c r="E13" s="12"/>
      <c r="F13" s="241">
        <f>+R106</f>
        <v>0</v>
      </c>
      <c r="G13" t="s">
        <v>147</v>
      </c>
      <c r="K13" s="16"/>
      <c r="L13" s="16"/>
      <c r="M13" s="16"/>
      <c r="N13" s="16"/>
      <c r="O13" s="12"/>
      <c r="P13" s="16"/>
      <c r="Q13" s="1"/>
    </row>
    <row r="14" spans="1:18" ht="13.5" thickBot="1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0.105</v>
      </c>
      <c r="G14" s="21" t="s">
        <v>2</v>
      </c>
      <c r="H14" s="16"/>
      <c r="I14" s="16"/>
      <c r="J14" s="17"/>
      <c r="K14" s="16"/>
      <c r="L14" s="16"/>
      <c r="M14" s="16"/>
      <c r="N14" s="16"/>
      <c r="O14" s="12"/>
      <c r="P14" s="16"/>
      <c r="Q14" s="1"/>
    </row>
    <row r="15" spans="1:18">
      <c r="C15" s="11" t="s">
        <v>221</v>
      </c>
      <c r="D15" s="9"/>
      <c r="E15" s="12"/>
      <c r="F15" s="20"/>
      <c r="G15" s="12"/>
      <c r="H15" s="16"/>
      <c r="I15" s="16"/>
      <c r="J15" s="17"/>
      <c r="K15" s="494" t="s">
        <v>3</v>
      </c>
      <c r="L15" s="495"/>
      <c r="M15" s="495"/>
      <c r="N15" s="495"/>
      <c r="O15" s="496"/>
      <c r="P15" s="16"/>
      <c r="Q15" s="1"/>
    </row>
    <row r="16" spans="1:18">
      <c r="C16" s="17"/>
      <c r="D16" s="23" t="s">
        <v>4</v>
      </c>
      <c r="E16" s="23" t="s">
        <v>5</v>
      </c>
      <c r="F16" s="24" t="s">
        <v>6</v>
      </c>
      <c r="G16" s="12"/>
      <c r="H16" s="16"/>
      <c r="I16" s="16"/>
      <c r="J16" s="17"/>
      <c r="K16" s="497"/>
      <c r="L16" s="498"/>
      <c r="M16" s="498"/>
      <c r="N16" s="498"/>
      <c r="O16" s="499"/>
      <c r="P16" s="16"/>
      <c r="Q16" s="1"/>
    </row>
    <row r="17" spans="3:17">
      <c r="C17" s="25" t="s">
        <v>7</v>
      </c>
      <c r="D17" s="26">
        <f>+R107</f>
        <v>0.51000680151348399</v>
      </c>
      <c r="E17" s="27">
        <f>+R108</f>
        <v>5.1744163244506244E-2</v>
      </c>
      <c r="F17" s="28">
        <f>E17*D17</f>
        <v>2.6389875193322209E-2</v>
      </c>
      <c r="G17" s="12"/>
      <c r="H17" s="16"/>
      <c r="I17" s="29"/>
      <c r="J17" s="30"/>
      <c r="K17" s="31"/>
      <c r="L17" s="32"/>
      <c r="M17" s="17" t="s">
        <v>8</v>
      </c>
      <c r="N17" s="17" t="s">
        <v>9</v>
      </c>
      <c r="O17" s="33" t="s">
        <v>10</v>
      </c>
      <c r="P17" s="16"/>
      <c r="Q17" s="1"/>
    </row>
    <row r="18" spans="3:17">
      <c r="C18" s="25" t="s">
        <v>11</v>
      </c>
      <c r="D18" s="26">
        <f>+R109</f>
        <v>0</v>
      </c>
      <c r="E18" s="27">
        <f>+R110</f>
        <v>0</v>
      </c>
      <c r="F18" s="28">
        <f>E18*D18</f>
        <v>0</v>
      </c>
      <c r="G18" s="35"/>
      <c r="H18" s="35"/>
      <c r="I18" s="36"/>
      <c r="J18" s="37"/>
      <c r="K18" s="38"/>
      <c r="L18" s="7"/>
      <c r="M18" s="7"/>
      <c r="N18" s="7"/>
      <c r="O18" s="39"/>
      <c r="P18" s="35"/>
      <c r="Q18" s="1"/>
    </row>
    <row r="19" spans="3:17" ht="13.5" thickBot="1">
      <c r="C19" s="40" t="s">
        <v>12</v>
      </c>
      <c r="D19" s="26">
        <f>+R111</f>
        <v>0.48999319848651607</v>
      </c>
      <c r="E19" s="27">
        <f>+F14</f>
        <v>0.105</v>
      </c>
      <c r="F19" s="41">
        <f>E19*D19</f>
        <v>5.1449285841084186E-2</v>
      </c>
      <c r="G19" s="35"/>
      <c r="H19" s="35"/>
      <c r="I19" s="20"/>
      <c r="J19" s="37"/>
      <c r="K19" s="42" t="s">
        <v>13</v>
      </c>
      <c r="L19" s="225">
        <f>R104</f>
        <v>2019</v>
      </c>
      <c r="M19" s="44">
        <f>SUM('P.001:P.xyz - blank'!N5)</f>
        <v>7284760.4319926891</v>
      </c>
      <c r="N19" s="44">
        <f>SUM('P.001:P.xyz - blank'!N6)</f>
        <v>7284760.4319926891</v>
      </c>
      <c r="O19" s="45">
        <f>+N19-M19</f>
        <v>0</v>
      </c>
      <c r="P19" s="36"/>
      <c r="Q19" s="1"/>
    </row>
    <row r="20" spans="3:17">
      <c r="C20" s="11"/>
      <c r="D20" s="12"/>
      <c r="E20" s="46" t="s">
        <v>14</v>
      </c>
      <c r="F20" s="28">
        <f>SUM(F17:F19)</f>
        <v>7.7839161034406398E-2</v>
      </c>
      <c r="G20" s="35"/>
      <c r="H20" s="35"/>
      <c r="I20" s="36"/>
      <c r="J20" s="37"/>
      <c r="M20" s="230" t="str">
        <f>IF(M19=SUM('P.001:P.xyz - blank'!N5),"","ERROR")</f>
        <v/>
      </c>
      <c r="N20" s="230" t="str">
        <f>IF(N19=SUM('P.001:P.xyz - blank'!N6),"","ERROR")</f>
        <v/>
      </c>
      <c r="O20" s="230" t="str">
        <f>IF(O19=SUM('P.001:P.xyz - blank'!N7),"","ERROR")</f>
        <v/>
      </c>
      <c r="P20" s="35"/>
      <c r="Q20" s="1"/>
    </row>
    <row r="21" spans="3:17">
      <c r="D21" s="47"/>
      <c r="E21" s="47"/>
      <c r="F21" s="35"/>
      <c r="G21" s="35"/>
      <c r="H21" s="35"/>
      <c r="I21" s="35"/>
      <c r="J21" s="48"/>
      <c r="K21" s="49" t="s">
        <v>15</v>
      </c>
      <c r="P21" s="35"/>
      <c r="Q21" s="1"/>
    </row>
    <row r="22" spans="3:17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35"/>
      <c r="H22" s="12"/>
      <c r="I22" s="35"/>
      <c r="J22" s="48"/>
      <c r="K22" t="s">
        <v>16</v>
      </c>
      <c r="P22" s="35"/>
      <c r="Q22" s="1"/>
    </row>
    <row r="23" spans="3:17">
      <c r="C23" s="17"/>
      <c r="D23" s="47"/>
      <c r="E23" s="47"/>
      <c r="F23" s="48"/>
      <c r="G23" s="48"/>
      <c r="H23" s="48"/>
      <c r="I23" s="48"/>
      <c r="J23" s="48"/>
      <c r="K23" s="36"/>
      <c r="L23" s="34"/>
      <c r="M23" s="51"/>
      <c r="N23" s="36"/>
      <c r="O23" s="35"/>
      <c r="P23" s="48"/>
      <c r="Q23" s="4"/>
    </row>
    <row r="24" spans="3:17">
      <c r="C24" s="11" t="str">
        <f>+S112</f>
        <v xml:space="preserve">   Rate Base  (TCOS, ln 62)</v>
      </c>
      <c r="D24" s="12"/>
      <c r="E24" s="52">
        <f>+R112</f>
        <v>490471199.16906059</v>
      </c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53"/>
      <c r="Q24" s="4"/>
    </row>
    <row r="25" spans="3:17">
      <c r="C25" s="17" t="s">
        <v>17</v>
      </c>
      <c r="D25" s="14"/>
      <c r="E25" s="54">
        <f>F20</f>
        <v>7.7839161034406398E-2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"/>
    </row>
    <row r="26" spans="3:17">
      <c r="C26" s="55" t="s">
        <v>18</v>
      </c>
      <c r="D26" s="55"/>
      <c r="E26" s="36">
        <f>E24*E25</f>
        <v>38177866.654858924</v>
      </c>
      <c r="F26" s="48"/>
      <c r="G26" s="48"/>
      <c r="H26" s="48"/>
      <c r="I26" s="37"/>
      <c r="J26" s="37"/>
      <c r="K26" s="37"/>
      <c r="L26" s="37"/>
      <c r="M26" s="48"/>
      <c r="N26" s="37"/>
      <c r="O26" s="48"/>
      <c r="P26" s="48"/>
      <c r="Q26" s="4"/>
    </row>
    <row r="27" spans="3:17">
      <c r="C27" s="56"/>
      <c r="D27" s="16"/>
      <c r="E27" s="16"/>
      <c r="F27" s="48"/>
      <c r="G27" s="48"/>
      <c r="H27" s="48"/>
      <c r="I27" s="37"/>
      <c r="J27" s="37"/>
      <c r="K27" s="37"/>
      <c r="L27" s="37"/>
      <c r="M27" s="48"/>
      <c r="N27" s="37"/>
      <c r="O27" s="48"/>
      <c r="P27" s="48"/>
      <c r="Q27" s="4"/>
    </row>
    <row r="28" spans="3:17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9"/>
      <c r="J28" s="59"/>
      <c r="K28" s="59"/>
      <c r="L28" s="59"/>
      <c r="M28" s="48"/>
      <c r="N28" s="59"/>
      <c r="O28" s="58"/>
      <c r="P28" s="58"/>
      <c r="Q28" s="4"/>
    </row>
    <row r="29" spans="3:17">
      <c r="C29" s="11"/>
      <c r="D29" s="16"/>
      <c r="E29" s="16"/>
      <c r="F29" s="48"/>
      <c r="G29" s="48"/>
      <c r="H29" s="48"/>
      <c r="I29" s="37"/>
      <c r="J29" s="37"/>
      <c r="K29" s="37"/>
      <c r="L29" s="37"/>
      <c r="M29" s="48"/>
      <c r="N29" s="37"/>
      <c r="O29" s="48"/>
      <c r="P29" s="48"/>
      <c r="Q29" s="4"/>
    </row>
    <row r="30" spans="3:17">
      <c r="C30" s="17" t="s">
        <v>19</v>
      </c>
      <c r="D30" s="46"/>
      <c r="E30" s="60">
        <f>E26</f>
        <v>38177866.654858924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"/>
    </row>
    <row r="31" spans="3:17">
      <c r="C31" s="11" t="str">
        <f>+S113</f>
        <v xml:space="preserve">   Tax Rate  (TCOS, ln 97)</v>
      </c>
      <c r="D31" s="46"/>
      <c r="E31" s="61">
        <f>+R113</f>
        <v>0.2533709999999999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"/>
    </row>
    <row r="32" spans="3:17">
      <c r="C32" s="17" t="s">
        <v>20</v>
      </c>
      <c r="D32" s="2"/>
      <c r="E32" s="20">
        <f>IF(F17&gt;0,($E31/(1-$E31))*(1-$F17/$F20),0)</f>
        <v>0.22430205651491103</v>
      </c>
      <c r="F32" s="1"/>
      <c r="G32" s="20"/>
      <c r="H32" s="3"/>
      <c r="I32" s="1"/>
      <c r="J32" s="4"/>
      <c r="K32" s="1"/>
      <c r="L32" s="1"/>
      <c r="M32" s="1"/>
      <c r="N32" s="1"/>
      <c r="O32" s="1"/>
      <c r="P32" s="1"/>
      <c r="Q32" s="1"/>
    </row>
    <row r="33" spans="2:19">
      <c r="C33" s="55" t="s">
        <v>21</v>
      </c>
      <c r="D33" s="62"/>
      <c r="E33" s="63">
        <f>E30*E32</f>
        <v>8563374.0040369034</v>
      </c>
      <c r="F33" s="63"/>
      <c r="G33" s="1"/>
      <c r="H33" s="3"/>
      <c r="I33" s="1"/>
      <c r="J33" s="4"/>
      <c r="K33" s="1"/>
      <c r="L33" s="1"/>
      <c r="M33" s="1"/>
      <c r="N33" s="1"/>
      <c r="O33" s="1"/>
      <c r="P33" s="1"/>
      <c r="Q33" s="1"/>
    </row>
    <row r="34" spans="2:19" ht="15">
      <c r="C34" s="11" t="str">
        <f>+S114</f>
        <v xml:space="preserve">   ITC Adjustment  (TCOS, ln 106)</v>
      </c>
      <c r="D34" s="65"/>
      <c r="E34" s="68">
        <f>+R114</f>
        <v>-389268.1748567585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</row>
    <row r="35" spans="2:19" ht="15">
      <c r="C35" s="11" t="str">
        <f>+S115</f>
        <v xml:space="preserve">   Excess DFIT Adjustment  (TCOS, ln 107)</v>
      </c>
      <c r="D35" s="65"/>
      <c r="E35" s="68">
        <f>+R115</f>
        <v>-2558969.7158829882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</row>
    <row r="36" spans="2:19" ht="15">
      <c r="C36" s="11" t="str">
        <f>+S116</f>
        <v xml:space="preserve">   Tax Effect of Permanent and Flow Through Differences  (TCOS, ln 108)</v>
      </c>
      <c r="D36" s="65"/>
      <c r="E36" s="66">
        <f>+R116</f>
        <v>81004.086366856878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</row>
    <row r="37" spans="2:19" ht="15">
      <c r="C37" s="56" t="s">
        <v>22</v>
      </c>
      <c r="D37" s="65"/>
      <c r="E37" s="68">
        <f>E33+E34+E35+E36</f>
        <v>5696140.1996640135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1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1"/>
      <c r="S39" s="1"/>
    </row>
    <row r="40" spans="2:19" ht="15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1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1"/>
      <c r="S41" s="1"/>
    </row>
    <row r="42" spans="2:19" ht="15.75">
      <c r="C42" s="8" t="s">
        <v>24</v>
      </c>
      <c r="D42" s="65"/>
      <c r="E42" s="65"/>
      <c r="F42" s="72"/>
      <c r="G42" s="65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1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1"/>
      <c r="S43" s="1"/>
    </row>
    <row r="44" spans="2:19" ht="12.75" customHeight="1">
      <c r="B44" s="1"/>
      <c r="C44" s="11" t="str">
        <f>+S117</f>
        <v xml:space="preserve">   Net Revenue Requirement  (TCOS, ln 115)</v>
      </c>
      <c r="D44" s="74"/>
      <c r="E44" s="74"/>
      <c r="F44" s="68">
        <f>+R117</f>
        <v>94141628.068431973</v>
      </c>
      <c r="G44" s="74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1"/>
      <c r="S44" s="1"/>
    </row>
    <row r="45" spans="2:19">
      <c r="B45" s="1"/>
      <c r="C45" s="11" t="str">
        <f>+S118</f>
        <v xml:space="preserve">   Return  (TCOS, ln 110)</v>
      </c>
      <c r="D45" s="74"/>
      <c r="E45" s="74"/>
      <c r="F45" s="75">
        <f>+R118</f>
        <v>38177866.654858924</v>
      </c>
      <c r="G45" s="76"/>
      <c r="H45" s="76"/>
      <c r="I45" s="76"/>
      <c r="J45" s="76"/>
      <c r="K45" s="76"/>
      <c r="L45" s="76"/>
      <c r="M45" s="76"/>
      <c r="N45" s="76"/>
      <c r="O45" s="76"/>
      <c r="P45" s="68"/>
      <c r="Q45" s="74"/>
      <c r="R45" s="1"/>
      <c r="S45" s="1"/>
    </row>
    <row r="46" spans="2:19">
      <c r="B46" s="1"/>
      <c r="C46" s="11" t="str">
        <f>+S119</f>
        <v xml:space="preserve">   Income Taxes  (TCOS, ln 109)</v>
      </c>
      <c r="D46" s="74"/>
      <c r="E46" s="74"/>
      <c r="F46" s="68">
        <f>+R119</f>
        <v>5696140.1996640135</v>
      </c>
      <c r="G46" s="74"/>
      <c r="H46" s="74"/>
      <c r="I46" s="77"/>
      <c r="J46" s="77"/>
      <c r="K46" s="77"/>
      <c r="L46" s="77"/>
      <c r="M46" s="77"/>
      <c r="N46" s="77"/>
      <c r="O46" s="74"/>
      <c r="P46" s="74"/>
      <c r="Q46" s="74"/>
      <c r="R46" s="1"/>
      <c r="S46" s="1"/>
    </row>
    <row r="47" spans="2:19">
      <c r="B47" s="1"/>
      <c r="C47" s="73" t="str">
        <f>+S120</f>
        <v xml:space="preserve">  Gross Margin Taxes  (TCOS, ln 114)</v>
      </c>
      <c r="D47" s="74"/>
      <c r="E47" s="74"/>
      <c r="F47" s="66">
        <f>+R120</f>
        <v>0</v>
      </c>
      <c r="G47" s="74"/>
      <c r="H47" s="74"/>
      <c r="I47" s="77"/>
      <c r="J47" s="77"/>
      <c r="K47" s="77"/>
      <c r="L47" s="77"/>
      <c r="M47" s="77"/>
      <c r="N47" s="77"/>
      <c r="O47" s="74"/>
      <c r="P47" s="74"/>
      <c r="Q47" s="74"/>
      <c r="R47" s="1"/>
      <c r="S47" s="1"/>
    </row>
    <row r="48" spans="2:19">
      <c r="B48" s="1"/>
      <c r="C48" s="22" t="s">
        <v>25</v>
      </c>
      <c r="D48" s="74"/>
      <c r="E48" s="74"/>
      <c r="F48" s="75">
        <f>F44-F45-F46-F47</f>
        <v>50267621.213909037</v>
      </c>
      <c r="G48" s="78"/>
      <c r="H48" s="74"/>
      <c r="I48" s="78"/>
      <c r="J48" s="78"/>
      <c r="K48" s="78"/>
      <c r="L48" s="78"/>
      <c r="M48" s="78"/>
      <c r="N48" s="78"/>
      <c r="O48" s="74"/>
      <c r="P48" s="78"/>
      <c r="Q48" s="74"/>
      <c r="R48" s="1"/>
      <c r="S48" s="1"/>
    </row>
    <row r="49" spans="2:19">
      <c r="B49" s="1"/>
      <c r="C49" s="73"/>
      <c r="D49" s="74"/>
      <c r="E49" s="74"/>
      <c r="F49" s="68"/>
      <c r="G49" s="79"/>
      <c r="H49" s="80"/>
      <c r="I49" s="80"/>
      <c r="J49" s="80"/>
      <c r="K49" s="80"/>
      <c r="L49" s="80"/>
      <c r="M49" s="80"/>
      <c r="N49" s="80"/>
      <c r="O49" s="81"/>
      <c r="P49" s="80"/>
      <c r="Q49" s="82"/>
      <c r="R49" s="1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79"/>
      <c r="H50" s="80"/>
      <c r="I50" s="80"/>
      <c r="J50" s="80"/>
      <c r="K50" s="80"/>
      <c r="L50" s="80"/>
      <c r="M50" s="80"/>
      <c r="N50" s="80"/>
      <c r="O50" s="81"/>
      <c r="P50" s="80"/>
      <c r="Q50" s="74"/>
    </row>
    <row r="51" spans="2:19">
      <c r="B51" s="1"/>
      <c r="C51" s="73"/>
      <c r="D51" s="81"/>
      <c r="E51" s="81"/>
      <c r="F51" s="68"/>
      <c r="G51" s="79"/>
      <c r="H51" s="80"/>
      <c r="I51" s="80"/>
      <c r="J51" s="80"/>
      <c r="K51" s="80"/>
      <c r="L51" s="80"/>
      <c r="M51" s="80"/>
      <c r="N51" s="80"/>
      <c r="O51" s="81"/>
      <c r="P51" s="80"/>
      <c r="Q51" s="74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50267621.213909037</v>
      </c>
      <c r="G52" s="74"/>
      <c r="H52" s="74"/>
      <c r="I52" s="74"/>
      <c r="J52" s="74"/>
      <c r="K52" s="74"/>
      <c r="L52" s="74"/>
      <c r="M52" s="74"/>
      <c r="N52" s="74"/>
      <c r="O52" s="83"/>
      <c r="P52" s="84"/>
      <c r="Q52" s="85"/>
    </row>
    <row r="53" spans="2:19">
      <c r="B53" s="1"/>
      <c r="C53" s="17" t="s">
        <v>98</v>
      </c>
      <c r="D53" s="86"/>
      <c r="E53" s="22"/>
      <c r="F53" s="87">
        <f>E26</f>
        <v>38177866.654858924</v>
      </c>
      <c r="G53" s="22"/>
      <c r="H53" s="88"/>
      <c r="I53" s="22"/>
      <c r="J53" s="22"/>
      <c r="K53" s="22"/>
      <c r="L53" s="22"/>
      <c r="M53" s="22"/>
      <c r="N53" s="22"/>
      <c r="O53" s="22"/>
      <c r="P53" s="22"/>
      <c r="Q53" s="22"/>
    </row>
    <row r="54" spans="2:19" ht="12.75" customHeight="1">
      <c r="B54" s="1"/>
      <c r="C54" s="11" t="s">
        <v>26</v>
      </c>
      <c r="D54" s="74"/>
      <c r="E54" s="74"/>
      <c r="F54" s="89">
        <f>E37</f>
        <v>5696140.1996640135</v>
      </c>
      <c r="G54" s="1"/>
      <c r="H54" s="3"/>
      <c r="I54" s="1"/>
      <c r="J54" s="4"/>
      <c r="K54" s="1"/>
      <c r="L54" s="1"/>
      <c r="M54" s="1"/>
      <c r="N54" s="1"/>
      <c r="O54" s="1"/>
      <c r="P54" s="1"/>
      <c r="Q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94141628.068431973</v>
      </c>
      <c r="G55" s="1"/>
      <c r="H55" s="3"/>
      <c r="I55" s="1"/>
      <c r="J55" s="4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1"/>
      <c r="H56" s="3"/>
      <c r="I56" s="1"/>
      <c r="J56" s="4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1"/>
      <c r="C57" s="22" t="s">
        <v>27</v>
      </c>
      <c r="D57" s="2"/>
      <c r="E57" s="1"/>
      <c r="F57" s="92">
        <f>+F55+F56</f>
        <v>94141628.068431973</v>
      </c>
      <c r="G57" s="1"/>
      <c r="H57" s="3"/>
      <c r="I57" s="1"/>
      <c r="J57" s="4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1"/>
      <c r="C58" s="11" t="str">
        <f>+S121</f>
        <v xml:space="preserve">   Less: Depreciation  (TCOS, ln 84)</v>
      </c>
      <c r="D58" s="2"/>
      <c r="E58" s="1"/>
      <c r="F58" s="93">
        <f>+R121</f>
        <v>21536479.987743564</v>
      </c>
      <c r="G58" s="1"/>
      <c r="H58" s="3"/>
      <c r="I58" s="1"/>
      <c r="J58" s="4"/>
      <c r="K58" s="1"/>
      <c r="L58" s="1"/>
      <c r="M58" s="1"/>
      <c r="N58" s="1"/>
      <c r="O58" s="1"/>
      <c r="P58" s="1"/>
      <c r="Q58" s="1"/>
      <c r="R58" s="1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72605148.080688417</v>
      </c>
      <c r="G59" s="1"/>
      <c r="H59" s="3"/>
      <c r="I59" s="1"/>
      <c r="J59" s="4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1"/>
      <c r="C60" s="1"/>
      <c r="D60" s="2"/>
      <c r="E60" s="1"/>
      <c r="F60" s="1"/>
      <c r="G60" s="1"/>
      <c r="H60" s="3"/>
      <c r="I60" s="1"/>
      <c r="J60" s="4"/>
      <c r="K60" s="1"/>
      <c r="L60" s="1"/>
      <c r="M60" s="1"/>
      <c r="N60" s="1"/>
      <c r="O60" s="1"/>
      <c r="P60" s="1"/>
      <c r="Q60" s="1"/>
      <c r="R60" s="1"/>
      <c r="S60" s="1"/>
    </row>
    <row r="61" spans="2:19" ht="15.75">
      <c r="B61" s="18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18"/>
      <c r="H61" s="97"/>
      <c r="I61" s="18"/>
      <c r="J61" s="4"/>
      <c r="K61" s="1"/>
      <c r="L61" s="1"/>
      <c r="M61" s="1"/>
      <c r="N61" s="1"/>
      <c r="O61" s="1"/>
      <c r="P61" s="1"/>
      <c r="Q61" s="1"/>
      <c r="R61" s="1"/>
      <c r="S61" s="1"/>
    </row>
    <row r="62" spans="2:19">
      <c r="B62" s="18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94141628.068431973</v>
      </c>
      <c r="G62" s="18"/>
      <c r="H62" s="97"/>
      <c r="I62" s="18"/>
      <c r="J62" s="4"/>
      <c r="K62" s="1"/>
      <c r="L62" s="1"/>
      <c r="M62" s="1"/>
      <c r="N62" s="1"/>
      <c r="O62" s="1"/>
      <c r="P62" s="1"/>
      <c r="Q62" s="1"/>
      <c r="R62" s="1"/>
      <c r="S62" s="1"/>
    </row>
    <row r="63" spans="2:19">
      <c r="B63" s="18"/>
      <c r="C63" s="64" t="s">
        <v>28</v>
      </c>
      <c r="D63" s="95"/>
      <c r="E63" s="95"/>
      <c r="F63" s="96"/>
      <c r="G63" s="18"/>
      <c r="H63" s="97"/>
      <c r="I63" s="18"/>
      <c r="J63" s="4"/>
      <c r="K63" s="1"/>
      <c r="L63" s="1"/>
      <c r="M63" s="1"/>
      <c r="N63" s="1"/>
      <c r="O63" s="1"/>
      <c r="P63" s="1"/>
      <c r="Q63" s="1"/>
      <c r="R63" s="1"/>
      <c r="S63" s="1"/>
    </row>
    <row r="64" spans="2:19">
      <c r="B64" s="18"/>
      <c r="C64" s="22" t="s">
        <v>281</v>
      </c>
      <c r="D64" s="62"/>
      <c r="E64" s="18"/>
      <c r="F64" s="98">
        <f>+R122</f>
        <v>0</v>
      </c>
      <c r="G64" s="18"/>
      <c r="H64" s="97"/>
      <c r="I64" s="18"/>
      <c r="J64" s="4"/>
      <c r="K64" s="1"/>
      <c r="L64" s="1"/>
      <c r="M64" s="1"/>
      <c r="N64" s="1"/>
      <c r="O64" s="1"/>
      <c r="P64" s="1"/>
      <c r="Q64" s="1"/>
      <c r="R64" s="1"/>
      <c r="S64" s="1"/>
    </row>
    <row r="65" spans="2:19">
      <c r="B65" s="18"/>
      <c r="C65" s="22" t="s">
        <v>282</v>
      </c>
      <c r="D65" s="62"/>
      <c r="E65" s="18"/>
      <c r="F65" s="96">
        <f>+F62*F64</f>
        <v>0</v>
      </c>
      <c r="G65" s="18"/>
      <c r="H65" s="97"/>
      <c r="I65" s="18"/>
      <c r="J65" s="4"/>
      <c r="K65" s="1"/>
      <c r="L65" s="1"/>
      <c r="M65" s="1"/>
      <c r="N65" s="1"/>
      <c r="O65" s="1"/>
      <c r="P65" s="1"/>
      <c r="Q65" s="1"/>
      <c r="R65" s="1"/>
      <c r="S65" s="1"/>
    </row>
    <row r="66" spans="2:19">
      <c r="B66" s="18"/>
      <c r="C66" s="22" t="s">
        <v>283</v>
      </c>
      <c r="D66" s="62"/>
      <c r="E66" s="18"/>
      <c r="F66" s="99">
        <v>0.22</v>
      </c>
      <c r="G66" s="18"/>
      <c r="H66" s="97"/>
      <c r="I66" s="18"/>
      <c r="J66" s="4"/>
      <c r="K66" s="1"/>
      <c r="L66" s="1"/>
      <c r="M66" s="1"/>
      <c r="N66" s="1"/>
      <c r="O66" s="1"/>
      <c r="P66" s="1"/>
      <c r="Q66" s="1"/>
      <c r="R66" s="1"/>
      <c r="S66" s="1"/>
    </row>
    <row r="67" spans="2:19">
      <c r="B67" s="18"/>
      <c r="C67" s="22" t="s">
        <v>284</v>
      </c>
      <c r="D67" s="62"/>
      <c r="E67" s="18"/>
      <c r="F67" s="96">
        <f>+F65*F66</f>
        <v>0</v>
      </c>
      <c r="G67" s="18"/>
      <c r="H67" s="97"/>
      <c r="I67" s="18"/>
      <c r="J67" s="4"/>
      <c r="K67" s="1"/>
      <c r="L67" s="1"/>
      <c r="M67" s="1"/>
      <c r="N67" s="1"/>
      <c r="O67" s="1"/>
      <c r="P67" s="1"/>
      <c r="Q67" s="1"/>
      <c r="R67" s="1"/>
      <c r="S67" s="1"/>
    </row>
    <row r="68" spans="2:19">
      <c r="B68" s="18"/>
      <c r="C68" s="22" t="s">
        <v>285</v>
      </c>
      <c r="D68" s="62"/>
      <c r="E68" s="18"/>
      <c r="F68" s="99">
        <v>0.01</v>
      </c>
      <c r="G68" s="18"/>
      <c r="H68" s="97"/>
      <c r="I68" s="18"/>
      <c r="J68" s="4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18"/>
      <c r="C69" s="22" t="s">
        <v>286</v>
      </c>
      <c r="D69" s="62"/>
      <c r="E69" s="18"/>
      <c r="F69" s="96">
        <f>+F67*F68</f>
        <v>0</v>
      </c>
      <c r="G69" s="18"/>
      <c r="H69" s="97"/>
      <c r="I69" s="18"/>
      <c r="J69" s="4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18"/>
      <c r="C70" s="22" t="s">
        <v>287</v>
      </c>
      <c r="D70" s="62"/>
      <c r="E70" s="18"/>
      <c r="F70" s="100">
        <f>+ROUND((F69*F66*F64)/(1-F68)*F68,0)</f>
        <v>0</v>
      </c>
      <c r="G70" s="18"/>
      <c r="H70" s="97"/>
      <c r="I70" s="18"/>
      <c r="J70" s="4"/>
      <c r="K70" s="1"/>
      <c r="L70" s="1"/>
      <c r="M70" s="1"/>
      <c r="N70" s="1"/>
      <c r="O70" s="1"/>
      <c r="P70" s="1"/>
      <c r="Q70" s="1"/>
      <c r="R70" s="1"/>
      <c r="S70" s="1"/>
    </row>
    <row r="71" spans="2:19">
      <c r="B71" s="18"/>
      <c r="C71" s="22" t="s">
        <v>29</v>
      </c>
      <c r="D71" s="62"/>
      <c r="E71" s="18"/>
      <c r="F71" s="96">
        <f>+F69+F70</f>
        <v>0</v>
      </c>
      <c r="G71" s="18"/>
      <c r="H71" s="97"/>
      <c r="I71" s="18"/>
      <c r="J71" s="4"/>
      <c r="K71" s="1"/>
      <c r="L71" s="1"/>
      <c r="M71" s="1"/>
      <c r="N71" s="1"/>
      <c r="O71" s="1"/>
      <c r="P71" s="1"/>
      <c r="Q71" s="1"/>
      <c r="R71" s="1"/>
      <c r="S71" s="1"/>
    </row>
    <row r="72" spans="2:19">
      <c r="B72" s="1"/>
      <c r="C72" s="1"/>
      <c r="D72" s="2"/>
      <c r="E72" s="1"/>
      <c r="F72" s="1"/>
      <c r="G72" s="1"/>
      <c r="H72" s="3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3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</row>
    <row r="74" spans="2:19">
      <c r="B74" s="1"/>
      <c r="C74" s="1"/>
      <c r="D74" s="2"/>
      <c r="E74" s="1"/>
      <c r="F74" s="1"/>
      <c r="G74" s="1"/>
      <c r="H74" s="3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</row>
    <row r="75" spans="2:19">
      <c r="B75" s="1"/>
      <c r="C75" s="11" t="str">
        <f>+S123</f>
        <v xml:space="preserve">   Net Transmission Plant  (TCOS, ln 37)</v>
      </c>
      <c r="D75" s="2"/>
      <c r="E75" s="1"/>
      <c r="F75" s="63">
        <f>+R123</f>
        <v>650253793.589782</v>
      </c>
      <c r="G75" s="101"/>
      <c r="H75" s="10"/>
      <c r="J75" s="7"/>
      <c r="P75" s="1"/>
      <c r="Q75" s="1"/>
      <c r="R75" s="1"/>
      <c r="S75" s="1"/>
    </row>
    <row r="76" spans="2:19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02">
        <f>F55</f>
        <v>94141628.068431973</v>
      </c>
      <c r="H76" s="10"/>
      <c r="J76" s="7"/>
      <c r="P76" s="1"/>
      <c r="Q76" s="1"/>
      <c r="R76" s="1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0.14477674562837231</v>
      </c>
      <c r="H77" s="10"/>
      <c r="J77" s="7"/>
      <c r="P77" s="1"/>
      <c r="Q77" s="1"/>
      <c r="R77" s="1"/>
      <c r="S77" s="1"/>
    </row>
    <row r="78" spans="2:19">
      <c r="B78" s="1"/>
      <c r="D78" s="2"/>
      <c r="E78" s="1"/>
      <c r="F78" s="18"/>
      <c r="H78" s="10"/>
      <c r="J78" s="7"/>
      <c r="P78" s="1"/>
      <c r="Q78" s="1"/>
      <c r="R78" s="1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F59</f>
        <v>72605148.080688417</v>
      </c>
      <c r="G79" s="101"/>
      <c r="H79" s="10"/>
      <c r="J79" s="7"/>
      <c r="P79" s="1"/>
      <c r="Q79" s="1"/>
      <c r="R79" s="1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0.11165663129755146</v>
      </c>
      <c r="G80" s="103"/>
      <c r="H80" s="10"/>
      <c r="J80" s="7"/>
      <c r="P80" s="1"/>
      <c r="Q80" s="1"/>
      <c r="R80" s="1"/>
      <c r="S80" s="1"/>
    </row>
    <row r="81" spans="2:19">
      <c r="B81" s="1"/>
      <c r="C81" s="11" t="str">
        <f>+S124</f>
        <v xml:space="preserve">   FCR less Depreciation  (TCOS, ln 10)</v>
      </c>
      <c r="D81" s="2"/>
      <c r="E81" s="1"/>
      <c r="F81" s="104">
        <f>+R124</f>
        <v>0.11165663129755146</v>
      </c>
      <c r="H81" s="10"/>
      <c r="J81" s="7"/>
      <c r="P81" s="1"/>
      <c r="Q81" s="1"/>
      <c r="R81" s="1"/>
      <c r="S81" s="1"/>
    </row>
    <row r="82" spans="2:19">
      <c r="B82" s="1"/>
      <c r="C82" s="502" t="str">
        <f>"   Incremental FCR with "&amp;F13&amp;" Basis Point ROE increase, less Depreciation"</f>
        <v xml:space="preserve">   Incremental FCR with 0 Basis Point ROE increase, less Depreciation</v>
      </c>
      <c r="D82" s="503"/>
      <c r="E82" s="503"/>
      <c r="F82" s="103">
        <f>F80-F81</f>
        <v>0</v>
      </c>
      <c r="H82" s="10"/>
      <c r="J82" s="7"/>
      <c r="P82" s="1"/>
      <c r="Q82" s="1"/>
      <c r="R82" s="1"/>
      <c r="S82" s="1"/>
    </row>
    <row r="83" spans="2:19">
      <c r="B83" s="1"/>
      <c r="C83" s="503"/>
      <c r="D83" s="503"/>
      <c r="E83" s="503"/>
      <c r="F83" s="103"/>
      <c r="G83" s="1"/>
      <c r="H83" s="3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</row>
    <row r="84" spans="2:19" ht="18.75">
      <c r="B84" s="5" t="s">
        <v>30</v>
      </c>
      <c r="C84" s="71" t="s">
        <v>31</v>
      </c>
      <c r="D84" s="2"/>
      <c r="E84" s="1"/>
      <c r="F84" s="103"/>
      <c r="G84" s="1"/>
      <c r="H84" s="3"/>
      <c r="I84" s="1"/>
      <c r="J84" s="4"/>
      <c r="K84" s="1"/>
      <c r="L84" s="1"/>
      <c r="M84" s="1"/>
      <c r="N84" s="1"/>
      <c r="O84" s="1"/>
      <c r="P84" s="1"/>
      <c r="Q84" s="1"/>
      <c r="R84" s="1"/>
      <c r="S84" s="1"/>
    </row>
    <row r="85" spans="2:19" ht="12.75" customHeight="1">
      <c r="B85" s="5"/>
      <c r="C85" s="71"/>
      <c r="D85" s="2"/>
      <c r="E85" s="1"/>
      <c r="F85" s="103"/>
      <c r="G85" s="1"/>
      <c r="H85" s="3"/>
      <c r="I85" s="1"/>
      <c r="J85" s="4"/>
      <c r="K85" s="1"/>
      <c r="L85" s="1"/>
      <c r="M85" s="1"/>
      <c r="N85" s="1"/>
      <c r="O85" s="1"/>
      <c r="P85" s="1"/>
      <c r="Q85" s="1"/>
      <c r="R85" s="1"/>
      <c r="S85" s="1"/>
    </row>
    <row r="86" spans="2:19" ht="12.75" customHeight="1">
      <c r="B86" s="5"/>
      <c r="C86" s="22" t="s">
        <v>32</v>
      </c>
      <c r="D86" s="2"/>
      <c r="F86" s="97">
        <f>+R125</f>
        <v>907181078.47208798</v>
      </c>
      <c r="G86" s="1" t="s">
        <v>276</v>
      </c>
      <c r="H86" s="3"/>
      <c r="I86" s="1"/>
      <c r="J86" s="4"/>
      <c r="K86" s="1"/>
      <c r="L86" s="1"/>
      <c r="M86" s="1"/>
      <c r="N86" s="1"/>
      <c r="O86" s="1"/>
      <c r="P86" s="1"/>
      <c r="Q86" s="1"/>
      <c r="R86" s="1"/>
      <c r="S86" s="1"/>
    </row>
    <row r="87" spans="2:19" ht="12.75" customHeight="1">
      <c r="B87" s="5"/>
      <c r="C87" s="22" t="s">
        <v>33</v>
      </c>
      <c r="D87" s="2"/>
      <c r="F87" s="106">
        <f>R126</f>
        <v>946288588.49154496</v>
      </c>
      <c r="G87" s="1" t="s">
        <v>276</v>
      </c>
      <c r="H87" s="3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1"/>
      <c r="C88" s="22"/>
      <c r="D88" s="2"/>
      <c r="F88" s="3">
        <f>+F87+F86</f>
        <v>1853469666.9636331</v>
      </c>
      <c r="G88" s="63"/>
      <c r="H88" s="3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1"/>
      <c r="C89" s="22" t="str">
        <f>S127</f>
        <v xml:space="preserve">Transmission Plant Average Balance for 2018 </v>
      </c>
      <c r="D89" s="62"/>
      <c r="E89" s="107"/>
      <c r="F89" s="88">
        <f>+F88/2</f>
        <v>926734833.48181653</v>
      </c>
      <c r="G89" s="108"/>
      <c r="H89" s="3"/>
      <c r="I89" s="1"/>
      <c r="J89" s="4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1"/>
      <c r="C90" s="11" t="str">
        <f>S128</f>
        <v>Annual Depreciation Expense  (TCOS, ln 84)</v>
      </c>
      <c r="D90" s="62"/>
      <c r="E90" s="18"/>
      <c r="F90" s="88">
        <f>R128</f>
        <v>23388402.214859501</v>
      </c>
      <c r="G90" s="1"/>
      <c r="H90" s="3"/>
      <c r="I90" s="1"/>
      <c r="J90" s="4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1"/>
      <c r="C91" s="22" t="s">
        <v>34</v>
      </c>
      <c r="D91" s="2"/>
      <c r="E91" s="1"/>
      <c r="F91" s="103">
        <f>IF(F89=0,0,F90/F89)</f>
        <v>2.5237426467490612E-2</v>
      </c>
      <c r="G91" s="1"/>
      <c r="H91" s="109"/>
      <c r="I91" s="1"/>
      <c r="J91" s="4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1"/>
      <c r="C92" s="22" t="s">
        <v>35</v>
      </c>
      <c r="D92" s="2"/>
      <c r="E92" s="1"/>
      <c r="F92" s="110">
        <f>IF(F91=0,0,1/F91)</f>
        <v>39.623691476155145</v>
      </c>
      <c r="H92" s="3"/>
      <c r="I92" s="1"/>
      <c r="J92" s="4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1"/>
      <c r="C93" s="22" t="s">
        <v>36</v>
      </c>
      <c r="D93" s="2"/>
      <c r="E93" s="1"/>
      <c r="F93" s="111">
        <f>ROUND(F92,0)</f>
        <v>40</v>
      </c>
      <c r="G93" s="1"/>
      <c r="H93" s="3"/>
      <c r="I93" s="1"/>
      <c r="J93" s="4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C94" s="178"/>
      <c r="D94" s="158"/>
      <c r="E94" s="158"/>
      <c r="F94" s="158"/>
      <c r="G94" s="115"/>
      <c r="H94" s="115"/>
      <c r="I94" s="175"/>
      <c r="J94" s="175"/>
      <c r="K94" s="175"/>
      <c r="L94" s="175"/>
      <c r="M94" s="175"/>
      <c r="N94" s="175"/>
      <c r="O94" s="4"/>
      <c r="P94" s="4"/>
      <c r="Q94" s="1"/>
      <c r="R94" s="1"/>
      <c r="S94" s="1"/>
    </row>
    <row r="95" spans="2:19">
      <c r="C95" s="178"/>
      <c r="D95" s="158"/>
      <c r="E95" s="158"/>
      <c r="F95" s="158"/>
      <c r="G95" s="115"/>
      <c r="H95" s="115"/>
      <c r="I95" s="175"/>
      <c r="J95" s="175"/>
      <c r="K95" s="175"/>
      <c r="L95" s="175"/>
      <c r="M95" s="175"/>
      <c r="N95" s="175"/>
      <c r="O95" s="4"/>
      <c r="P95" s="4"/>
      <c r="Q95" s="1"/>
      <c r="R95" s="1"/>
      <c r="S95" s="1"/>
    </row>
    <row r="96" spans="2:19">
      <c r="J96" s="7"/>
      <c r="P96" s="1"/>
      <c r="Q96" s="1"/>
      <c r="R96" s="1"/>
      <c r="S96" s="1"/>
    </row>
    <row r="97" spans="3:19">
      <c r="J97" s="7"/>
      <c r="P97" s="1"/>
      <c r="Q97" s="1"/>
      <c r="R97" s="233" t="s">
        <v>121</v>
      </c>
      <c r="S97" t="s">
        <v>122</v>
      </c>
    </row>
    <row r="98" spans="3:19">
      <c r="J98" s="7"/>
      <c r="P98" s="1"/>
      <c r="Q98" s="1"/>
    </row>
    <row r="99" spans="3:19">
      <c r="C99" s="240" t="s">
        <v>117</v>
      </c>
      <c r="J99" s="7"/>
      <c r="L99" s="240" t="s">
        <v>116</v>
      </c>
      <c r="P99" s="1"/>
      <c r="Q99" s="1"/>
    </row>
    <row r="100" spans="3:19">
      <c r="J100" s="7"/>
      <c r="P100" s="1"/>
      <c r="Q100" s="1"/>
      <c r="S100" s="232" t="s">
        <v>114</v>
      </c>
    </row>
    <row r="101" spans="3:19">
      <c r="J101" s="7"/>
      <c r="P101" s="1"/>
      <c r="Q101" s="1"/>
      <c r="R101" s="233" t="s">
        <v>110</v>
      </c>
      <c r="S101" s="236" t="s">
        <v>115</v>
      </c>
    </row>
    <row r="102" spans="3:19" ht="13.5" thickBot="1">
      <c r="J102" s="7"/>
      <c r="P102" s="1"/>
      <c r="Q102" s="1"/>
      <c r="R102" s="235" t="s">
        <v>137</v>
      </c>
    </row>
    <row r="103" spans="3:19">
      <c r="J103" s="7"/>
      <c r="P103" s="1"/>
      <c r="Q103" s="1"/>
      <c r="R103" s="461" t="s">
        <v>139</v>
      </c>
      <c r="S103" s="462" t="s">
        <v>138</v>
      </c>
    </row>
    <row r="104" spans="3:19">
      <c r="J104" s="7"/>
      <c r="P104" s="1"/>
      <c r="Q104" s="1"/>
      <c r="R104" s="404">
        <v>2019</v>
      </c>
      <c r="S104" s="470" t="s">
        <v>315</v>
      </c>
    </row>
    <row r="105" spans="3:19">
      <c r="J105" s="7"/>
      <c r="P105" s="1"/>
      <c r="Q105" s="1"/>
      <c r="R105" s="465">
        <v>0.105</v>
      </c>
      <c r="S105" s="18" t="s">
        <v>316</v>
      </c>
    </row>
    <row r="106" spans="3:19">
      <c r="J106" s="7"/>
      <c r="P106" s="1"/>
      <c r="Q106" s="1"/>
      <c r="R106" s="487">
        <v>0</v>
      </c>
      <c r="S106" s="470" t="s">
        <v>1</v>
      </c>
    </row>
    <row r="107" spans="3:19">
      <c r="J107" s="7"/>
      <c r="P107" s="1"/>
      <c r="Q107" s="1"/>
      <c r="R107" s="488">
        <v>0.51000680151348399</v>
      </c>
      <c r="S107" s="471" t="s">
        <v>104</v>
      </c>
    </row>
    <row r="108" spans="3:19">
      <c r="J108" s="7"/>
      <c r="P108" s="1"/>
      <c r="Q108" s="1"/>
      <c r="R108" s="488">
        <v>5.1744163244506244E-2</v>
      </c>
      <c r="S108" s="471" t="s">
        <v>105</v>
      </c>
    </row>
    <row r="109" spans="3:19">
      <c r="J109" s="7"/>
      <c r="P109" s="1"/>
      <c r="Q109" s="1"/>
      <c r="R109" s="488">
        <v>0</v>
      </c>
      <c r="S109" s="471" t="s">
        <v>106</v>
      </c>
    </row>
    <row r="110" spans="3:19">
      <c r="J110" s="7"/>
      <c r="P110" s="1"/>
      <c r="Q110" s="1"/>
      <c r="R110" s="488">
        <v>0</v>
      </c>
      <c r="S110" s="471" t="s">
        <v>107</v>
      </c>
    </row>
    <row r="111" spans="3:19">
      <c r="J111" s="7"/>
      <c r="P111" s="1"/>
      <c r="Q111" s="1"/>
      <c r="R111" s="488">
        <v>0.48999319848651607</v>
      </c>
      <c r="S111" s="472" t="s">
        <v>108</v>
      </c>
    </row>
    <row r="112" spans="3:19">
      <c r="J112" s="7"/>
      <c r="P112" s="1"/>
      <c r="Q112" s="1"/>
      <c r="R112" s="473">
        <v>490471199.16906059</v>
      </c>
      <c r="S112" s="474" t="s">
        <v>317</v>
      </c>
    </row>
    <row r="113" spans="3:19">
      <c r="J113" s="7"/>
      <c r="P113" s="1"/>
      <c r="Q113" s="1"/>
      <c r="R113" s="475">
        <v>0.2533709999999999</v>
      </c>
      <c r="S113" s="470" t="s">
        <v>318</v>
      </c>
    </row>
    <row r="114" spans="3:19">
      <c r="J114" s="7"/>
      <c r="P114" s="1"/>
      <c r="Q114" s="1"/>
      <c r="R114" s="476">
        <v>-389268.1748567585</v>
      </c>
      <c r="S114" s="470" t="s">
        <v>319</v>
      </c>
    </row>
    <row r="115" spans="3:19">
      <c r="J115" s="7"/>
      <c r="P115" s="1"/>
      <c r="Q115" s="1"/>
      <c r="R115" s="476">
        <v>-2558969.7158829882</v>
      </c>
      <c r="S115" s="470" t="s">
        <v>320</v>
      </c>
    </row>
    <row r="116" spans="3:19">
      <c r="J116" s="7"/>
      <c r="P116" s="1"/>
      <c r="Q116" s="1"/>
      <c r="R116" s="476">
        <v>81004.086366856878</v>
      </c>
      <c r="S116" s="470" t="s">
        <v>321</v>
      </c>
    </row>
    <row r="117" spans="3:19">
      <c r="J117" s="7"/>
      <c r="P117" s="1"/>
      <c r="Q117" s="1"/>
      <c r="R117" s="476">
        <v>94141628.068431973</v>
      </c>
      <c r="S117" s="470" t="s">
        <v>322</v>
      </c>
    </row>
    <row r="118" spans="3:19">
      <c r="J118" s="7"/>
      <c r="P118" s="1"/>
      <c r="Q118" s="1"/>
      <c r="R118" s="476">
        <v>38177866.654858924</v>
      </c>
      <c r="S118" s="470" t="s">
        <v>323</v>
      </c>
    </row>
    <row r="119" spans="3:19">
      <c r="C119" s="1"/>
      <c r="D119" s="2"/>
      <c r="E119" s="1"/>
      <c r="F119" s="1"/>
      <c r="G119" s="1"/>
      <c r="H119" s="3"/>
      <c r="I119" s="1"/>
      <c r="J119" s="4"/>
      <c r="K119" s="1"/>
      <c r="L119" s="1"/>
      <c r="M119" s="1"/>
      <c r="N119" s="1"/>
      <c r="O119" s="1"/>
      <c r="P119" s="1"/>
      <c r="Q119" s="1"/>
      <c r="R119" s="476">
        <v>5696140.1996640135</v>
      </c>
      <c r="S119" s="470" t="s">
        <v>324</v>
      </c>
    </row>
    <row r="120" spans="3:19">
      <c r="C120" s="1"/>
      <c r="D120" s="2"/>
      <c r="E120" s="1"/>
      <c r="F120" s="1"/>
      <c r="G120" s="1"/>
      <c r="H120" s="3"/>
      <c r="I120" s="1"/>
      <c r="J120" s="4"/>
      <c r="K120" s="1"/>
      <c r="L120" s="1"/>
      <c r="M120" s="1"/>
      <c r="N120" s="1"/>
      <c r="O120" s="1"/>
      <c r="P120" s="1"/>
      <c r="Q120" s="1"/>
      <c r="R120" s="476">
        <v>0</v>
      </c>
      <c r="S120" s="470" t="s">
        <v>325</v>
      </c>
    </row>
    <row r="121" spans="3:19">
      <c r="C121" s="1"/>
      <c r="D121" s="2"/>
      <c r="E121" s="1"/>
      <c r="F121" s="1"/>
      <c r="G121" s="1"/>
      <c r="H121" s="3"/>
      <c r="I121" s="1"/>
      <c r="J121" s="4"/>
      <c r="K121" s="1"/>
      <c r="L121" s="1"/>
      <c r="M121" s="1"/>
      <c r="N121" s="1"/>
      <c r="O121" s="1"/>
      <c r="P121" s="1"/>
      <c r="Q121" s="1"/>
      <c r="R121" s="476">
        <v>21536479.987743564</v>
      </c>
      <c r="S121" s="470" t="s">
        <v>326</v>
      </c>
    </row>
    <row r="122" spans="3:19">
      <c r="C122" s="1"/>
      <c r="D122" s="2"/>
      <c r="E122" s="1"/>
      <c r="F122" s="1"/>
      <c r="G122" s="1"/>
      <c r="H122" s="3"/>
      <c r="I122" s="1"/>
      <c r="J122" s="4"/>
      <c r="K122" s="1"/>
      <c r="L122" s="1"/>
      <c r="M122" s="1"/>
      <c r="N122" s="1"/>
      <c r="O122" s="1"/>
      <c r="P122" s="1"/>
      <c r="Q122" s="1"/>
      <c r="R122" s="475">
        <v>0</v>
      </c>
      <c r="S122" s="470" t="s">
        <v>113</v>
      </c>
    </row>
    <row r="123" spans="3:19">
      <c r="C123" s="1"/>
      <c r="D123" s="2"/>
      <c r="E123" s="1"/>
      <c r="F123" s="1"/>
      <c r="G123" s="1"/>
      <c r="H123" s="3"/>
      <c r="I123" s="1"/>
      <c r="J123" s="4"/>
      <c r="K123" s="1"/>
      <c r="L123" s="1"/>
      <c r="M123" s="1"/>
      <c r="N123" s="1"/>
      <c r="O123" s="1"/>
      <c r="P123" s="1"/>
      <c r="Q123" s="1"/>
      <c r="R123" s="476">
        <v>650253793.589782</v>
      </c>
      <c r="S123" s="470" t="s">
        <v>327</v>
      </c>
    </row>
    <row r="124" spans="3:19">
      <c r="C124" s="1"/>
      <c r="D124" s="2"/>
      <c r="E124" s="1"/>
      <c r="F124" s="1"/>
      <c r="G124" s="1"/>
      <c r="H124" s="3"/>
      <c r="I124" s="1"/>
      <c r="J124" s="4"/>
      <c r="K124" s="1"/>
      <c r="L124" s="1"/>
      <c r="M124" s="1"/>
      <c r="N124" s="1"/>
      <c r="O124" s="1"/>
      <c r="P124" s="1"/>
      <c r="Q124" s="1"/>
      <c r="R124" s="477">
        <v>0.11165663129755146</v>
      </c>
      <c r="S124" s="478" t="s">
        <v>328</v>
      </c>
    </row>
    <row r="125" spans="3:19">
      <c r="C125" s="1"/>
      <c r="D125" s="2"/>
      <c r="E125" s="1"/>
      <c r="F125" s="1"/>
      <c r="G125" s="1"/>
      <c r="H125" s="3"/>
      <c r="I125" s="1"/>
      <c r="J125" s="4"/>
      <c r="K125" s="1"/>
      <c r="L125" s="1"/>
      <c r="M125" s="1"/>
      <c r="N125" s="1"/>
      <c r="O125" s="1"/>
      <c r="P125" s="1"/>
      <c r="Q125" s="1"/>
      <c r="R125" s="479">
        <v>907181078.47208798</v>
      </c>
      <c r="S125" s="471" t="s">
        <v>329</v>
      </c>
    </row>
    <row r="126" spans="3:19">
      <c r="C126" s="1"/>
      <c r="D126" s="2"/>
      <c r="E126" s="1"/>
      <c r="F126" s="1"/>
      <c r="G126" s="1"/>
      <c r="H126" s="3"/>
      <c r="I126" s="1"/>
      <c r="J126" s="4"/>
      <c r="K126" s="1"/>
      <c r="L126" s="1"/>
      <c r="M126" s="1"/>
      <c r="N126" s="1"/>
      <c r="O126" s="1"/>
      <c r="P126" s="1"/>
      <c r="Q126" s="1"/>
      <c r="R126" s="479">
        <v>946288588.49154496</v>
      </c>
      <c r="S126" s="472" t="s">
        <v>330</v>
      </c>
    </row>
    <row r="127" spans="3:19">
      <c r="C127" s="1"/>
      <c r="D127" s="2"/>
      <c r="E127" s="1"/>
      <c r="F127" s="1"/>
      <c r="G127" s="1"/>
      <c r="H127" s="3"/>
      <c r="I127" s="1"/>
      <c r="J127" s="4"/>
      <c r="K127" s="1"/>
      <c r="L127" s="1"/>
      <c r="M127" s="1"/>
      <c r="N127" s="1"/>
      <c r="O127" s="1"/>
      <c r="P127" s="1"/>
      <c r="Q127" s="1"/>
      <c r="R127" s="479">
        <v>926734833.48181653</v>
      </c>
      <c r="S127" s="480" t="s">
        <v>331</v>
      </c>
    </row>
    <row r="128" spans="3:19" ht="13.5" thickBot="1">
      <c r="C128" s="1"/>
      <c r="D128" s="2"/>
      <c r="E128" s="1"/>
      <c r="F128" s="1"/>
      <c r="G128" s="1"/>
      <c r="H128" s="3"/>
      <c r="I128" s="1"/>
      <c r="J128" s="4"/>
      <c r="K128" s="1"/>
      <c r="L128" s="1"/>
      <c r="M128" s="1"/>
      <c r="N128" s="1"/>
      <c r="O128" s="1"/>
      <c r="P128" s="1"/>
      <c r="Q128" s="1"/>
      <c r="R128" s="484">
        <v>23388402.214859501</v>
      </c>
      <c r="S128" s="481" t="s">
        <v>332</v>
      </c>
    </row>
    <row r="129" spans="3:19">
      <c r="C129" s="1"/>
      <c r="D129" s="2"/>
      <c r="E129" s="1"/>
      <c r="F129" s="1"/>
      <c r="G129" s="1"/>
      <c r="H129" s="3"/>
      <c r="I129" s="1"/>
      <c r="J129" s="4"/>
      <c r="K129" s="1"/>
      <c r="L129" s="1"/>
      <c r="M129" s="1"/>
      <c r="N129" s="1"/>
      <c r="O129" s="1"/>
      <c r="P129" s="1"/>
      <c r="Q129" s="1"/>
      <c r="R129" s="1"/>
      <c r="S129" s="1"/>
    </row>
    <row r="130" spans="3:19">
      <c r="C130" s="1"/>
      <c r="D130" s="2"/>
      <c r="E130" s="1"/>
      <c r="F130" s="1"/>
      <c r="G130" s="1"/>
      <c r="H130" s="3"/>
      <c r="I130" s="1"/>
      <c r="J130" s="4"/>
      <c r="K130" s="1"/>
      <c r="L130" s="1"/>
      <c r="M130" s="1"/>
      <c r="N130" s="1"/>
      <c r="O130" s="1"/>
      <c r="P130" s="1"/>
      <c r="Q130" s="1"/>
      <c r="R130" s="233" t="s">
        <v>111</v>
      </c>
      <c r="S130" s="1" t="s">
        <v>125</v>
      </c>
    </row>
    <row r="131" spans="3:19" ht="13.5" thickBot="1">
      <c r="C131" s="1"/>
      <c r="D131" s="2"/>
      <c r="E131" s="1"/>
      <c r="F131" s="1"/>
      <c r="G131" s="1"/>
      <c r="H131" s="3"/>
      <c r="I131" s="1"/>
      <c r="J131" s="4"/>
      <c r="K131" s="1"/>
      <c r="L131" s="1"/>
      <c r="M131" s="1"/>
      <c r="N131" s="1"/>
      <c r="O131" s="1"/>
      <c r="P131" s="1"/>
      <c r="Q131" s="1"/>
      <c r="R131" s="235" t="s">
        <v>109</v>
      </c>
      <c r="S131" s="1"/>
    </row>
    <row r="132" spans="3:19">
      <c r="C132" s="1"/>
      <c r="D132" s="2"/>
      <c r="E132" s="1"/>
      <c r="F132" s="1"/>
      <c r="G132" s="1"/>
      <c r="H132" s="3"/>
      <c r="I132" s="1"/>
      <c r="J132" s="4"/>
      <c r="K132" s="1"/>
      <c r="L132" s="1"/>
      <c r="M132" s="1"/>
      <c r="N132" s="1"/>
      <c r="O132" s="1"/>
      <c r="P132" s="1"/>
      <c r="Q132" s="1"/>
      <c r="R132" s="237">
        <f>+M19</f>
        <v>7284760.4319926891</v>
      </c>
      <c r="S132" s="1" t="str">
        <f>+K19&amp;" "&amp;M17</f>
        <v>PROJECTED YEAR Rev Require</v>
      </c>
    </row>
    <row r="133" spans="3:19">
      <c r="C133" s="22"/>
      <c r="D133" s="86"/>
      <c r="E133" s="22"/>
      <c r="F133" s="22"/>
      <c r="G133" s="22"/>
      <c r="H133" s="88"/>
      <c r="I133" s="1"/>
      <c r="J133" s="4"/>
      <c r="K133" s="1"/>
      <c r="L133" s="1"/>
      <c r="M133" s="1"/>
      <c r="N133" s="1"/>
      <c r="O133" s="1"/>
      <c r="P133" s="1"/>
      <c r="Q133" s="1"/>
      <c r="R133" s="238">
        <f>+N19</f>
        <v>7284760.4319926891</v>
      </c>
      <c r="S133" s="1" t="str">
        <f>K19&amp;" "&amp;N17</f>
        <v>PROJECTED YEAR  W Incentives</v>
      </c>
    </row>
    <row r="134" spans="3:19" ht="13.5" thickBot="1">
      <c r="C134" s="22"/>
      <c r="D134" s="86"/>
      <c r="E134" s="22"/>
      <c r="F134" s="22"/>
      <c r="G134" s="22"/>
      <c r="H134" s="88"/>
      <c r="I134" s="1"/>
      <c r="J134" s="4"/>
      <c r="K134" s="1"/>
      <c r="L134" s="1"/>
      <c r="M134" s="1"/>
      <c r="N134" s="1"/>
      <c r="O134" s="1"/>
      <c r="P134" s="1"/>
      <c r="Q134" s="1"/>
      <c r="R134" s="239">
        <f>+O19</f>
        <v>0</v>
      </c>
      <c r="S134" s="1" t="str">
        <f>K19&amp;" "&amp;O17</f>
        <v>PROJECTED YEAR Incentive Amounts</v>
      </c>
    </row>
    <row r="135" spans="3:19">
      <c r="C135" s="22"/>
      <c r="D135" s="86"/>
      <c r="E135" s="22"/>
      <c r="F135" s="22"/>
      <c r="G135" s="22"/>
      <c r="H135" s="88"/>
      <c r="I135" s="1"/>
      <c r="J135" s="4"/>
      <c r="K135" s="1"/>
      <c r="L135" s="1"/>
      <c r="M135" s="1"/>
      <c r="N135" s="1"/>
      <c r="O135" s="1"/>
      <c r="P135" s="1"/>
      <c r="Q135" s="1"/>
      <c r="R135" s="1"/>
      <c r="S135" s="1"/>
    </row>
    <row r="136" spans="3:19">
      <c r="C136" s="22"/>
      <c r="D136" s="86"/>
      <c r="E136" s="22"/>
      <c r="F136" s="22"/>
      <c r="G136" s="22"/>
      <c r="H136" s="88"/>
      <c r="I136" s="1"/>
      <c r="J136" s="4"/>
      <c r="K136" s="1"/>
      <c r="L136" s="1"/>
      <c r="M136" s="1"/>
      <c r="N136" s="1"/>
      <c r="O136" s="1"/>
      <c r="P136" s="1"/>
      <c r="Q136" s="1"/>
      <c r="R136" s="1"/>
      <c r="S136" s="1"/>
    </row>
    <row r="137" spans="3:19">
      <c r="C137" s="22"/>
      <c r="D137" s="86"/>
      <c r="E137" s="22"/>
      <c r="F137" s="22"/>
      <c r="G137" s="22"/>
      <c r="H137" s="88"/>
      <c r="I137" s="1"/>
      <c r="J137" s="4"/>
      <c r="K137" s="1"/>
      <c r="L137" s="1"/>
      <c r="M137" s="1"/>
      <c r="N137" s="1"/>
      <c r="O137" s="1"/>
      <c r="P137" s="1"/>
      <c r="Q137" s="1"/>
      <c r="R137" s="233" t="s">
        <v>123</v>
      </c>
      <c r="S137" s="232" t="s">
        <v>124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zoomScale="80" zoomScaleNormal="100" zoomScaleSheetLayoutView="8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17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216741.56005757477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216741.56005757477</v>
      </c>
      <c r="O6" s="1"/>
      <c r="P6" s="1"/>
    </row>
    <row r="7" spans="1:16" ht="13.5" thickBot="1">
      <c r="C7" s="127" t="s">
        <v>41</v>
      </c>
      <c r="D7" s="426" t="s">
        <v>256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255</v>
      </c>
      <c r="E9" s="428" t="s">
        <v>345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1692023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2015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42300.574999999997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0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2015</v>
      </c>
      <c r="D17" s="436">
        <v>1500000</v>
      </c>
      <c r="E17" s="441">
        <v>0</v>
      </c>
      <c r="F17" s="436">
        <v>1500000</v>
      </c>
      <c r="G17" s="441">
        <v>206807.48514960654</v>
      </c>
      <c r="H17" s="439">
        <v>206807.48514960654</v>
      </c>
      <c r="I17" s="160">
        <v>0</v>
      </c>
      <c r="J17" s="160"/>
      <c r="K17" s="338">
        <f>G17</f>
        <v>206807.48514960654</v>
      </c>
      <c r="L17" s="440">
        <f>IF(K17&lt;&gt;0,+G17-K17,0)</f>
        <v>0</v>
      </c>
      <c r="M17" s="338">
        <f>H17</f>
        <v>206807.48514960654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2016</v>
      </c>
      <c r="D18" s="436">
        <v>1777912</v>
      </c>
      <c r="E18" s="437">
        <v>34190.615384615383</v>
      </c>
      <c r="F18" s="436">
        <v>1743721.3846153845</v>
      </c>
      <c r="G18" s="437">
        <v>262896.61538461538</v>
      </c>
      <c r="H18" s="439">
        <v>262896.61538461538</v>
      </c>
      <c r="I18" s="160">
        <f>H18-G18</f>
        <v>0</v>
      </c>
      <c r="J18" s="160"/>
      <c r="K18" s="338">
        <f>G18</f>
        <v>262896.61538461538</v>
      </c>
      <c r="L18" s="440">
        <f>IF(K18&lt;&gt;0,+G18-K18,0)</f>
        <v>0</v>
      </c>
      <c r="M18" s="338">
        <f>H18</f>
        <v>262896.61538461538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2017</v>
      </c>
      <c r="D19" s="436">
        <v>1657832.3846153845</v>
      </c>
      <c r="E19" s="437">
        <v>36783.108695652176</v>
      </c>
      <c r="F19" s="436">
        <v>1621049.2759197324</v>
      </c>
      <c r="G19" s="437">
        <v>243079.10869565216</v>
      </c>
      <c r="H19" s="439">
        <v>243079.10869565216</v>
      </c>
      <c r="I19" s="160">
        <v>0</v>
      </c>
      <c r="J19" s="160"/>
      <c r="K19" s="338">
        <f>G19</f>
        <v>243079.10869565216</v>
      </c>
      <c r="L19" s="440">
        <f>IF(K19&lt;&gt;0,+G19-K19,0)</f>
        <v>0</v>
      </c>
      <c r="M19" s="338">
        <f>H19</f>
        <v>243079.10869565216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2018</v>
      </c>
      <c r="D20" s="436">
        <v>1621049.2759197324</v>
      </c>
      <c r="E20" s="437">
        <v>37600.511111111111</v>
      </c>
      <c r="F20" s="436">
        <v>1583448.7648086213</v>
      </c>
      <c r="G20" s="437">
        <v>229484.15653998824</v>
      </c>
      <c r="H20" s="439">
        <v>229484.15653998824</v>
      </c>
      <c r="I20" s="160">
        <f t="shared" ref="I20:I72" si="1">H20-G20</f>
        <v>0</v>
      </c>
      <c r="J20" s="160"/>
      <c r="K20" s="338">
        <f>G20</f>
        <v>229484.15653998824</v>
      </c>
      <c r="L20" s="440">
        <f>IF(K20&lt;&gt;0,+G20-K20,0)</f>
        <v>0</v>
      </c>
      <c r="M20" s="338">
        <f>H20</f>
        <v>229484.15653998824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2019</v>
      </c>
      <c r="D21" s="433">
        <f>IF(F20+SUM(E$17:E20)=D$10,F20,D$10-SUM(E$17:E20))</f>
        <v>1583448.7648086213</v>
      </c>
      <c r="E21" s="164">
        <f t="shared" ref="E21:E72" si="2">IF(+$I$14&lt;F20,$I$14,D21)</f>
        <v>42300.574999999997</v>
      </c>
      <c r="F21" s="203">
        <f t="shared" ref="F21:F72" si="3">+D21-E21</f>
        <v>1541148.1898086213</v>
      </c>
      <c r="G21" s="164">
        <f t="shared" ref="G21:G72" si="4">(D21+F21)/2*I$12+E21</f>
        <v>216741.56005757477</v>
      </c>
      <c r="H21" s="147">
        <f t="shared" ref="H21:H72" si="5">+(D21+F21)/2*I$13+E21</f>
        <v>216741.56005757477</v>
      </c>
      <c r="I21" s="160">
        <f t="shared" si="1"/>
        <v>0</v>
      </c>
      <c r="J21" s="160"/>
      <c r="K21" s="335"/>
      <c r="L21" s="162">
        <f t="shared" ref="L21:L72" si="6">IF(K21&lt;&gt;0,+G21-K21,0)</f>
        <v>0</v>
      </c>
      <c r="M21" s="335"/>
      <c r="N21" s="162">
        <f t="shared" ref="N21:N72" si="7">IF(M21&lt;&gt;0,+H21-M21,0)</f>
        <v>0</v>
      </c>
      <c r="O21" s="162">
        <f t="shared" ref="O21:O72" si="8">+N21-L21</f>
        <v>0</v>
      </c>
      <c r="P21" s="4"/>
    </row>
    <row r="22" spans="2:16">
      <c r="B22" s="9" t="str">
        <f t="shared" si="0"/>
        <v/>
      </c>
      <c r="C22" s="157">
        <f>IF(D11="","-",+C21+1)</f>
        <v>2020</v>
      </c>
      <c r="D22" s="433">
        <f>IF(F21+SUM(E$17:E21)=D$10,F21,D$10-SUM(E$17:E21))</f>
        <v>1541148.1898086213</v>
      </c>
      <c r="E22" s="164">
        <f t="shared" si="2"/>
        <v>42300.574999999997</v>
      </c>
      <c r="F22" s="203">
        <f t="shared" si="3"/>
        <v>1498847.6148086214</v>
      </c>
      <c r="G22" s="164">
        <f t="shared" si="4"/>
        <v>212018.42035112542</v>
      </c>
      <c r="H22" s="147">
        <f t="shared" si="5"/>
        <v>212018.42035112542</v>
      </c>
      <c r="I22" s="160">
        <f t="shared" si="1"/>
        <v>0</v>
      </c>
      <c r="J22" s="160"/>
      <c r="K22" s="335"/>
      <c r="L22" s="162">
        <f t="shared" si="6"/>
        <v>0</v>
      </c>
      <c r="M22" s="335"/>
      <c r="N22" s="162">
        <f t="shared" si="7"/>
        <v>0</v>
      </c>
      <c r="O22" s="162">
        <f t="shared" si="8"/>
        <v>0</v>
      </c>
      <c r="P22" s="4"/>
    </row>
    <row r="23" spans="2:16">
      <c r="B23" s="9" t="str">
        <f t="shared" si="0"/>
        <v/>
      </c>
      <c r="C23" s="157">
        <f>IF(D11="","-",+C22+1)</f>
        <v>2021</v>
      </c>
      <c r="D23" s="433">
        <f>IF(F22+SUM(E$17:E22)=D$10,F22,D$10-SUM(E$17:E22))</f>
        <v>1498847.6148086214</v>
      </c>
      <c r="E23" s="164">
        <f t="shared" si="2"/>
        <v>42300.574999999997</v>
      </c>
      <c r="F23" s="203">
        <f t="shared" si="3"/>
        <v>1456547.0398086214</v>
      </c>
      <c r="G23" s="164">
        <f t="shared" si="4"/>
        <v>207295.28064467595</v>
      </c>
      <c r="H23" s="147">
        <f t="shared" si="5"/>
        <v>207295.28064467595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2022</v>
      </c>
      <c r="D24" s="433">
        <f>IF(F23+SUM(E$17:E23)=D$10,F23,D$10-SUM(E$17:E23))</f>
        <v>1456547.0398086214</v>
      </c>
      <c r="E24" s="164">
        <f t="shared" si="2"/>
        <v>42300.574999999997</v>
      </c>
      <c r="F24" s="203">
        <f t="shared" si="3"/>
        <v>1414246.4648086214</v>
      </c>
      <c r="G24" s="164">
        <f t="shared" si="4"/>
        <v>202572.14093822654</v>
      </c>
      <c r="H24" s="147">
        <f t="shared" si="5"/>
        <v>202572.14093822654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2023</v>
      </c>
      <c r="D25" s="433">
        <f>IF(F24+SUM(E$17:E24)=D$10,F24,D$10-SUM(E$17:E24))</f>
        <v>1414246.4648086214</v>
      </c>
      <c r="E25" s="164">
        <f t="shared" si="2"/>
        <v>42300.574999999997</v>
      </c>
      <c r="F25" s="203">
        <f t="shared" si="3"/>
        <v>1371945.8898086215</v>
      </c>
      <c r="G25" s="164">
        <f t="shared" si="4"/>
        <v>197849.00123177713</v>
      </c>
      <c r="H25" s="147">
        <f t="shared" si="5"/>
        <v>197849.00123177713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2024</v>
      </c>
      <c r="D26" s="433">
        <f>IF(F25+SUM(E$17:E25)=D$10,F25,D$10-SUM(E$17:E25))</f>
        <v>1371945.8898086215</v>
      </c>
      <c r="E26" s="164">
        <f t="shared" si="2"/>
        <v>42300.574999999997</v>
      </c>
      <c r="F26" s="203">
        <f t="shared" si="3"/>
        <v>1329645.3148086215</v>
      </c>
      <c r="G26" s="164">
        <f t="shared" si="4"/>
        <v>193125.86152532772</v>
      </c>
      <c r="H26" s="147">
        <f t="shared" si="5"/>
        <v>193125.86152532772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2025</v>
      </c>
      <c r="D27" s="433">
        <f>IF(F26+SUM(E$17:E26)=D$10,F26,D$10-SUM(E$17:E26))</f>
        <v>1329645.3148086215</v>
      </c>
      <c r="E27" s="164">
        <f t="shared" si="2"/>
        <v>42300.574999999997</v>
      </c>
      <c r="F27" s="203">
        <f t="shared" si="3"/>
        <v>1287344.7398086216</v>
      </c>
      <c r="G27" s="164">
        <f t="shared" si="4"/>
        <v>188402.72181887826</v>
      </c>
      <c r="H27" s="147">
        <f t="shared" si="5"/>
        <v>188402.72181887826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2026</v>
      </c>
      <c r="D28" s="433">
        <f>IF(F27+SUM(E$17:E27)=D$10,F27,D$10-SUM(E$17:E27))</f>
        <v>1287344.7398086216</v>
      </c>
      <c r="E28" s="164">
        <f t="shared" si="2"/>
        <v>42300.574999999997</v>
      </c>
      <c r="F28" s="203">
        <f t="shared" si="3"/>
        <v>1245044.1648086216</v>
      </c>
      <c r="G28" s="164">
        <f t="shared" si="4"/>
        <v>183679.58211242891</v>
      </c>
      <c r="H28" s="147">
        <f t="shared" si="5"/>
        <v>183679.58211242891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2027</v>
      </c>
      <c r="D29" s="433">
        <f>IF(F28+SUM(E$17:E28)=D$10,F28,D$10-SUM(E$17:E28))</f>
        <v>1245044.1648086216</v>
      </c>
      <c r="E29" s="164">
        <f t="shared" si="2"/>
        <v>42300.574999999997</v>
      </c>
      <c r="F29" s="203">
        <f t="shared" si="3"/>
        <v>1202743.5898086217</v>
      </c>
      <c r="G29" s="164">
        <f t="shared" si="4"/>
        <v>178956.44240597944</v>
      </c>
      <c r="H29" s="147">
        <f t="shared" si="5"/>
        <v>178956.44240597944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2028</v>
      </c>
      <c r="D30" s="433">
        <f>IF(F29+SUM(E$17:E29)=D$10,F29,D$10-SUM(E$17:E29))</f>
        <v>1202743.5898086217</v>
      </c>
      <c r="E30" s="164">
        <f t="shared" si="2"/>
        <v>42300.574999999997</v>
      </c>
      <c r="F30" s="203">
        <f t="shared" si="3"/>
        <v>1160443.0148086217</v>
      </c>
      <c r="G30" s="164">
        <f t="shared" si="4"/>
        <v>174233.30269953003</v>
      </c>
      <c r="H30" s="147">
        <f t="shared" si="5"/>
        <v>174233.30269953003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2029</v>
      </c>
      <c r="D31" s="433">
        <f>IF(F30+SUM(E$17:E30)=D$10,F30,D$10-SUM(E$17:E30))</f>
        <v>1160443.0148086217</v>
      </c>
      <c r="E31" s="164">
        <f t="shared" si="2"/>
        <v>42300.574999999997</v>
      </c>
      <c r="F31" s="203">
        <f t="shared" si="3"/>
        <v>1118142.4398086218</v>
      </c>
      <c r="G31" s="164">
        <f t="shared" si="4"/>
        <v>169510.16299308062</v>
      </c>
      <c r="H31" s="147">
        <f t="shared" si="5"/>
        <v>169510.16299308062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2030</v>
      </c>
      <c r="D32" s="433">
        <f>IF(F31+SUM(E$17:E31)=D$10,F31,D$10-SUM(E$17:E31))</f>
        <v>1118142.4398086218</v>
      </c>
      <c r="E32" s="164">
        <f t="shared" si="2"/>
        <v>42300.574999999997</v>
      </c>
      <c r="F32" s="203">
        <f t="shared" si="3"/>
        <v>1075841.8648086218</v>
      </c>
      <c r="G32" s="164">
        <f t="shared" si="4"/>
        <v>164787.02328663121</v>
      </c>
      <c r="H32" s="147">
        <f t="shared" si="5"/>
        <v>164787.02328663121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2031</v>
      </c>
      <c r="D33" s="433">
        <f>IF(F32+SUM(E$17:E32)=D$10,F32,D$10-SUM(E$17:E32))</f>
        <v>1075841.8648086218</v>
      </c>
      <c r="E33" s="164">
        <f t="shared" si="2"/>
        <v>42300.574999999997</v>
      </c>
      <c r="F33" s="203">
        <f t="shared" si="3"/>
        <v>1033541.2898086219</v>
      </c>
      <c r="G33" s="164">
        <f t="shared" si="4"/>
        <v>160063.88358018175</v>
      </c>
      <c r="H33" s="147">
        <f t="shared" si="5"/>
        <v>160063.88358018175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2032</v>
      </c>
      <c r="D34" s="433">
        <f>IF(F33+SUM(E$17:E33)=D$10,F33,D$10-SUM(E$17:E33))</f>
        <v>1033541.2898086219</v>
      </c>
      <c r="E34" s="164">
        <f t="shared" si="2"/>
        <v>42300.574999999997</v>
      </c>
      <c r="F34" s="203">
        <f t="shared" si="3"/>
        <v>991240.71480862191</v>
      </c>
      <c r="G34" s="164">
        <f t="shared" si="4"/>
        <v>155340.74387373237</v>
      </c>
      <c r="H34" s="147">
        <f t="shared" si="5"/>
        <v>155340.74387373237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2033</v>
      </c>
      <c r="D35" s="433">
        <f>IF(F34+SUM(E$17:E34)=D$10,F34,D$10-SUM(E$17:E34))</f>
        <v>991240.71480862191</v>
      </c>
      <c r="E35" s="164">
        <f t="shared" si="2"/>
        <v>42300.574999999997</v>
      </c>
      <c r="F35" s="203">
        <f t="shared" si="3"/>
        <v>948940.13980862196</v>
      </c>
      <c r="G35" s="164">
        <f t="shared" si="4"/>
        <v>150617.60416728293</v>
      </c>
      <c r="H35" s="147">
        <f t="shared" si="5"/>
        <v>150617.60416728293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2034</v>
      </c>
      <c r="D36" s="433">
        <f>IF(F35+SUM(E$17:E35)=D$10,F35,D$10-SUM(E$17:E35))</f>
        <v>948940.13980862196</v>
      </c>
      <c r="E36" s="164">
        <f t="shared" si="2"/>
        <v>42300.574999999997</v>
      </c>
      <c r="F36" s="203">
        <f t="shared" si="3"/>
        <v>906639.564808622</v>
      </c>
      <c r="G36" s="164">
        <f t="shared" si="4"/>
        <v>145894.46446083352</v>
      </c>
      <c r="H36" s="147">
        <f t="shared" si="5"/>
        <v>145894.46446083352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2035</v>
      </c>
      <c r="D37" s="433">
        <f>IF(F36+SUM(E$17:E36)=D$10,F36,D$10-SUM(E$17:E36))</f>
        <v>906639.564808622</v>
      </c>
      <c r="E37" s="164">
        <f t="shared" si="2"/>
        <v>42300.574999999997</v>
      </c>
      <c r="F37" s="203">
        <f t="shared" si="3"/>
        <v>864338.98980862205</v>
      </c>
      <c r="G37" s="164">
        <f t="shared" si="4"/>
        <v>141171.32475438411</v>
      </c>
      <c r="H37" s="147">
        <f t="shared" si="5"/>
        <v>141171.32475438411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2036</v>
      </c>
      <c r="D38" s="433">
        <f>IF(F37+SUM(E$17:E37)=D$10,F37,D$10-SUM(E$17:E37))</f>
        <v>864338.98980862205</v>
      </c>
      <c r="E38" s="164">
        <f t="shared" si="2"/>
        <v>42300.574999999997</v>
      </c>
      <c r="F38" s="203">
        <f t="shared" si="3"/>
        <v>822038.4148086221</v>
      </c>
      <c r="G38" s="164">
        <f t="shared" si="4"/>
        <v>136448.1850479347</v>
      </c>
      <c r="H38" s="147">
        <f t="shared" si="5"/>
        <v>136448.1850479347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2037</v>
      </c>
      <c r="D39" s="433">
        <f>IF(F38+SUM(E$17:E38)=D$10,F38,D$10-SUM(E$17:E38))</f>
        <v>822038.4148086221</v>
      </c>
      <c r="E39" s="164">
        <f t="shared" si="2"/>
        <v>42300.574999999997</v>
      </c>
      <c r="F39" s="203">
        <f t="shared" si="3"/>
        <v>779737.83980862214</v>
      </c>
      <c r="G39" s="164">
        <f t="shared" si="4"/>
        <v>131725.04534148527</v>
      </c>
      <c r="H39" s="147">
        <f t="shared" si="5"/>
        <v>131725.04534148527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2038</v>
      </c>
      <c r="D40" s="433">
        <f>IF(F39+SUM(E$17:E39)=D$10,F39,D$10-SUM(E$17:E39))</f>
        <v>779737.83980862214</v>
      </c>
      <c r="E40" s="164">
        <f t="shared" si="2"/>
        <v>42300.574999999997</v>
      </c>
      <c r="F40" s="203">
        <f t="shared" si="3"/>
        <v>737437.26480862219</v>
      </c>
      <c r="G40" s="164">
        <f t="shared" si="4"/>
        <v>127001.90563503586</v>
      </c>
      <c r="H40" s="147">
        <f t="shared" si="5"/>
        <v>127001.90563503586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2039</v>
      </c>
      <c r="D41" s="433">
        <f>IF(F40+SUM(E$17:E40)=D$10,F40,D$10-SUM(E$17:E40))</f>
        <v>737437.26480862219</v>
      </c>
      <c r="E41" s="164">
        <f t="shared" si="2"/>
        <v>42300.574999999997</v>
      </c>
      <c r="F41" s="203">
        <f t="shared" si="3"/>
        <v>695136.68980862224</v>
      </c>
      <c r="G41" s="164">
        <f t="shared" si="4"/>
        <v>122278.76592858644</v>
      </c>
      <c r="H41" s="147">
        <f t="shared" si="5"/>
        <v>122278.76592858644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2040</v>
      </c>
      <c r="D42" s="433">
        <f>IF(F41+SUM(E$17:E41)=D$10,F41,D$10-SUM(E$17:E41))</f>
        <v>695136.68980862224</v>
      </c>
      <c r="E42" s="164">
        <f t="shared" si="2"/>
        <v>42300.574999999997</v>
      </c>
      <c r="F42" s="203">
        <f t="shared" si="3"/>
        <v>652836.11480862228</v>
      </c>
      <c r="G42" s="164">
        <f t="shared" si="4"/>
        <v>117555.62622213703</v>
      </c>
      <c r="H42" s="147">
        <f t="shared" si="5"/>
        <v>117555.62622213703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2041</v>
      </c>
      <c r="D43" s="433">
        <f>IF(F42+SUM(E$17:E42)=D$10,F42,D$10-SUM(E$17:E42))</f>
        <v>652836.11480862228</v>
      </c>
      <c r="E43" s="164">
        <f t="shared" si="2"/>
        <v>42300.574999999997</v>
      </c>
      <c r="F43" s="203">
        <f t="shared" si="3"/>
        <v>610535.53980862233</v>
      </c>
      <c r="G43" s="164">
        <f t="shared" si="4"/>
        <v>112832.4865156876</v>
      </c>
      <c r="H43" s="147">
        <f t="shared" si="5"/>
        <v>112832.4865156876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2042</v>
      </c>
      <c r="D44" s="433">
        <f>IF(F43+SUM(E$17:E43)=D$10,F43,D$10-SUM(E$17:E43))</f>
        <v>610535.53980862233</v>
      </c>
      <c r="E44" s="164">
        <f t="shared" si="2"/>
        <v>42300.574999999997</v>
      </c>
      <c r="F44" s="203">
        <f t="shared" si="3"/>
        <v>568234.96480862238</v>
      </c>
      <c r="G44" s="164">
        <f t="shared" si="4"/>
        <v>108109.34680923818</v>
      </c>
      <c r="H44" s="147">
        <f t="shared" si="5"/>
        <v>108109.34680923818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2043</v>
      </c>
      <c r="D45" s="433">
        <f>IF(F44+SUM(E$17:E44)=D$10,F44,D$10-SUM(E$17:E44))</f>
        <v>568234.96480862238</v>
      </c>
      <c r="E45" s="164">
        <f t="shared" si="2"/>
        <v>42300.574999999997</v>
      </c>
      <c r="F45" s="203">
        <f t="shared" si="3"/>
        <v>525934.38980862242</v>
      </c>
      <c r="G45" s="164">
        <f t="shared" si="4"/>
        <v>103386.20710278876</v>
      </c>
      <c r="H45" s="147">
        <f t="shared" si="5"/>
        <v>103386.20710278876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2044</v>
      </c>
      <c r="D46" s="433">
        <f>IF(F45+SUM(E$17:E45)=D$10,F45,D$10-SUM(E$17:E45))</f>
        <v>525934.38980862242</v>
      </c>
      <c r="E46" s="164">
        <f t="shared" si="2"/>
        <v>42300.574999999997</v>
      </c>
      <c r="F46" s="203">
        <f t="shared" si="3"/>
        <v>483633.81480862241</v>
      </c>
      <c r="G46" s="164">
        <f t="shared" si="4"/>
        <v>98663.067396339349</v>
      </c>
      <c r="H46" s="147">
        <f t="shared" si="5"/>
        <v>98663.067396339349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2045</v>
      </c>
      <c r="D47" s="433">
        <f>IF(F46+SUM(E$17:E46)=D$10,F46,D$10-SUM(E$17:E46))</f>
        <v>483633.81480862241</v>
      </c>
      <c r="E47" s="164">
        <f t="shared" si="2"/>
        <v>42300.574999999997</v>
      </c>
      <c r="F47" s="203">
        <f t="shared" si="3"/>
        <v>441333.2398086224</v>
      </c>
      <c r="G47" s="164">
        <f t="shared" si="4"/>
        <v>93939.927689889912</v>
      </c>
      <c r="H47" s="147">
        <f t="shared" si="5"/>
        <v>93939.927689889912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2046</v>
      </c>
      <c r="D48" s="433">
        <f>IF(F47+SUM(E$17:E47)=D$10,F47,D$10-SUM(E$17:E47))</f>
        <v>441333.2398086224</v>
      </c>
      <c r="E48" s="164">
        <f t="shared" si="2"/>
        <v>42300.574999999997</v>
      </c>
      <c r="F48" s="203">
        <f t="shared" si="3"/>
        <v>399032.66480862239</v>
      </c>
      <c r="G48" s="164">
        <f t="shared" si="4"/>
        <v>89216.787983440503</v>
      </c>
      <c r="H48" s="147">
        <f t="shared" si="5"/>
        <v>89216.787983440503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2047</v>
      </c>
      <c r="D49" s="433">
        <f>IF(F48+SUM(E$17:E48)=D$10,F48,D$10-SUM(E$17:E48))</f>
        <v>399032.66480862239</v>
      </c>
      <c r="E49" s="164">
        <f t="shared" si="2"/>
        <v>42300.574999999997</v>
      </c>
      <c r="F49" s="203">
        <f t="shared" si="3"/>
        <v>356732.08980862238</v>
      </c>
      <c r="G49" s="164">
        <f t="shared" si="4"/>
        <v>84493.648276991065</v>
      </c>
      <c r="H49" s="147">
        <f t="shared" si="5"/>
        <v>84493.648276991065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2048</v>
      </c>
      <c r="D50" s="433">
        <f>IF(F49+SUM(E$17:E49)=D$10,F49,D$10-SUM(E$17:E49))</f>
        <v>356732.08980862238</v>
      </c>
      <c r="E50" s="164">
        <f t="shared" si="2"/>
        <v>42300.574999999997</v>
      </c>
      <c r="F50" s="203">
        <f t="shared" si="3"/>
        <v>314431.51480862236</v>
      </c>
      <c r="G50" s="164">
        <f t="shared" si="4"/>
        <v>79770.508570541657</v>
      </c>
      <c r="H50" s="147">
        <f t="shared" si="5"/>
        <v>79770.508570541657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2049</v>
      </c>
      <c r="D51" s="433">
        <f>IF(F50+SUM(E$17:E50)=D$10,F50,D$10-SUM(E$17:E50))</f>
        <v>314431.51480862236</v>
      </c>
      <c r="E51" s="164">
        <f t="shared" si="2"/>
        <v>42300.574999999997</v>
      </c>
      <c r="F51" s="203">
        <f t="shared" si="3"/>
        <v>272130.93980862235</v>
      </c>
      <c r="G51" s="164">
        <f t="shared" si="4"/>
        <v>75047.368864092219</v>
      </c>
      <c r="H51" s="147">
        <f t="shared" si="5"/>
        <v>75047.368864092219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2050</v>
      </c>
      <c r="D52" s="433">
        <f>IF(F51+SUM(E$17:E51)=D$10,F51,D$10-SUM(E$17:E51))</f>
        <v>272130.93980862235</v>
      </c>
      <c r="E52" s="164">
        <f t="shared" si="2"/>
        <v>42300.574999999997</v>
      </c>
      <c r="F52" s="203">
        <f t="shared" si="3"/>
        <v>229830.36480862234</v>
      </c>
      <c r="G52" s="164">
        <f t="shared" si="4"/>
        <v>70324.229157642796</v>
      </c>
      <c r="H52" s="147">
        <f t="shared" si="5"/>
        <v>70324.229157642796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2051</v>
      </c>
      <c r="D53" s="433">
        <f>IF(F52+SUM(E$17:E52)=D$10,F52,D$10-SUM(E$17:E52))</f>
        <v>229830.36480862234</v>
      </c>
      <c r="E53" s="164">
        <f t="shared" si="2"/>
        <v>42300.574999999997</v>
      </c>
      <c r="F53" s="203">
        <f t="shared" si="3"/>
        <v>187529.78980862233</v>
      </c>
      <c r="G53" s="164">
        <f t="shared" si="4"/>
        <v>65601.089451193373</v>
      </c>
      <c r="H53" s="147">
        <f t="shared" si="5"/>
        <v>65601.089451193373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2052</v>
      </c>
      <c r="D54" s="433">
        <f>IF(F53+SUM(E$17:E53)=D$10,F53,D$10-SUM(E$17:E53))</f>
        <v>187529.78980862233</v>
      </c>
      <c r="E54" s="164">
        <f t="shared" si="2"/>
        <v>42300.574999999997</v>
      </c>
      <c r="F54" s="203">
        <f t="shared" si="3"/>
        <v>145229.21480862232</v>
      </c>
      <c r="G54" s="164">
        <f t="shared" si="4"/>
        <v>60877.94974474395</v>
      </c>
      <c r="H54" s="147">
        <f t="shared" si="5"/>
        <v>60877.94974474395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2053</v>
      </c>
      <c r="D55" s="433">
        <f>IF(F54+SUM(E$17:E54)=D$10,F54,D$10-SUM(E$17:E54))</f>
        <v>145229.21480862232</v>
      </c>
      <c r="E55" s="164">
        <f t="shared" si="2"/>
        <v>42300.574999999997</v>
      </c>
      <c r="F55" s="203">
        <f t="shared" si="3"/>
        <v>102928.63980862232</v>
      </c>
      <c r="G55" s="164">
        <f t="shared" si="4"/>
        <v>56154.810038294527</v>
      </c>
      <c r="H55" s="147">
        <f t="shared" si="5"/>
        <v>56154.810038294527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2054</v>
      </c>
      <c r="D56" s="433">
        <f>IF(F55+SUM(E$17:E55)=D$10,F55,D$10-SUM(E$17:E55))</f>
        <v>102928.63980862232</v>
      </c>
      <c r="E56" s="164">
        <f t="shared" si="2"/>
        <v>42300.574999999997</v>
      </c>
      <c r="F56" s="203">
        <f t="shared" si="3"/>
        <v>60628.064808622323</v>
      </c>
      <c r="G56" s="164">
        <f t="shared" si="4"/>
        <v>51431.670331845104</v>
      </c>
      <c r="H56" s="147">
        <f t="shared" si="5"/>
        <v>51431.670331845104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2055</v>
      </c>
      <c r="D57" s="433">
        <f>IF(F56+SUM(E$17:E56)=D$10,F56,D$10-SUM(E$17:E56))</f>
        <v>60628.064808622323</v>
      </c>
      <c r="E57" s="164">
        <f t="shared" si="2"/>
        <v>42300.574999999997</v>
      </c>
      <c r="F57" s="203">
        <f t="shared" si="3"/>
        <v>18327.489808622326</v>
      </c>
      <c r="G57" s="164">
        <f t="shared" si="4"/>
        <v>46708.530625395681</v>
      </c>
      <c r="H57" s="147">
        <f t="shared" si="5"/>
        <v>46708.530625395681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2056</v>
      </c>
      <c r="D58" s="433">
        <f>IF(F57+SUM(E$17:E57)=D$10,F57,D$10-SUM(E$17:E57))</f>
        <v>18327.489808622326</v>
      </c>
      <c r="E58" s="164">
        <f t="shared" si="2"/>
        <v>18327.489808622326</v>
      </c>
      <c r="F58" s="203">
        <f t="shared" si="3"/>
        <v>0</v>
      </c>
      <c r="G58" s="164">
        <f t="shared" si="4"/>
        <v>19350.682694707812</v>
      </c>
      <c r="H58" s="147">
        <f t="shared" si="5"/>
        <v>19350.682694707812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2057</v>
      </c>
      <c r="D59" s="433">
        <f>IF(F58+SUM(E$17:E58)=D$10,F58,D$10-SUM(E$17:E58))</f>
        <v>0</v>
      </c>
      <c r="E59" s="164">
        <f t="shared" si="2"/>
        <v>0</v>
      </c>
      <c r="F59" s="203">
        <f t="shared" si="3"/>
        <v>0</v>
      </c>
      <c r="G59" s="164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2058</v>
      </c>
      <c r="D60" s="433">
        <f>IF(F59+SUM(E$17:E59)=D$10,F59,D$10-SUM(E$17:E59))</f>
        <v>0</v>
      </c>
      <c r="E60" s="164">
        <f t="shared" si="2"/>
        <v>0</v>
      </c>
      <c r="F60" s="203">
        <f t="shared" si="3"/>
        <v>0</v>
      </c>
      <c r="G60" s="164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2059</v>
      </c>
      <c r="D61" s="433">
        <f>IF(F60+SUM(E$17:E60)=D$10,F60,D$10-SUM(E$17:E60))</f>
        <v>0</v>
      </c>
      <c r="E61" s="164">
        <f t="shared" si="2"/>
        <v>0</v>
      </c>
      <c r="F61" s="203">
        <f t="shared" si="3"/>
        <v>0</v>
      </c>
      <c r="G61" s="164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2060</v>
      </c>
      <c r="D62" s="433">
        <f>IF(F61+SUM(E$17:E61)=D$10,F61,D$10-SUM(E$17:E61))</f>
        <v>0</v>
      </c>
      <c r="E62" s="164">
        <f t="shared" si="2"/>
        <v>0</v>
      </c>
      <c r="F62" s="203">
        <f t="shared" si="3"/>
        <v>0</v>
      </c>
      <c r="G62" s="164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2061</v>
      </c>
      <c r="D63" s="433">
        <f>IF(F62+SUM(E$17:E62)=D$10,F62,D$10-SUM(E$17:E62))</f>
        <v>0</v>
      </c>
      <c r="E63" s="164">
        <f t="shared" si="2"/>
        <v>0</v>
      </c>
      <c r="F63" s="203">
        <f t="shared" si="3"/>
        <v>0</v>
      </c>
      <c r="G63" s="164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2062</v>
      </c>
      <c r="D64" s="433">
        <f>IF(F63+SUM(E$17:E63)=D$10,F63,D$10-SUM(E$17:E63))</f>
        <v>0</v>
      </c>
      <c r="E64" s="164">
        <f t="shared" si="2"/>
        <v>0</v>
      </c>
      <c r="F64" s="203">
        <f t="shared" si="3"/>
        <v>0</v>
      </c>
      <c r="G64" s="164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2063</v>
      </c>
      <c r="D65" s="433">
        <f>IF(F64+SUM(E$17:E64)=D$10,F64,D$10-SUM(E$17:E64))</f>
        <v>0</v>
      </c>
      <c r="E65" s="164">
        <f t="shared" si="2"/>
        <v>0</v>
      </c>
      <c r="F65" s="203">
        <f t="shared" si="3"/>
        <v>0</v>
      </c>
      <c r="G65" s="164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2064</v>
      </c>
      <c r="D66" s="433">
        <f>IF(F65+SUM(E$17:E65)=D$10,F65,D$10-SUM(E$17:E65))</f>
        <v>0</v>
      </c>
      <c r="E66" s="164">
        <f t="shared" si="2"/>
        <v>0</v>
      </c>
      <c r="F66" s="203">
        <f t="shared" si="3"/>
        <v>0</v>
      </c>
      <c r="G66" s="164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2065</v>
      </c>
      <c r="D67" s="433">
        <f>IF(F66+SUM(E$17:E66)=D$10,F66,D$10-SUM(E$17:E66))</f>
        <v>0</v>
      </c>
      <c r="E67" s="164">
        <f t="shared" si="2"/>
        <v>0</v>
      </c>
      <c r="F67" s="203">
        <f t="shared" si="3"/>
        <v>0</v>
      </c>
      <c r="G67" s="164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2066</v>
      </c>
      <c r="D68" s="433">
        <f>IF(F67+SUM(E$17:E67)=D$10,F67,D$10-SUM(E$17:E67))</f>
        <v>0</v>
      </c>
      <c r="E68" s="164">
        <f t="shared" si="2"/>
        <v>0</v>
      </c>
      <c r="F68" s="203">
        <f t="shared" si="3"/>
        <v>0</v>
      </c>
      <c r="G68" s="164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2067</v>
      </c>
      <c r="D69" s="433">
        <f>IF(F68+SUM(E$17:E68)=D$10,F68,D$10-SUM(E$17:E68))</f>
        <v>0</v>
      </c>
      <c r="E69" s="164">
        <f t="shared" si="2"/>
        <v>0</v>
      </c>
      <c r="F69" s="203">
        <f t="shared" si="3"/>
        <v>0</v>
      </c>
      <c r="G69" s="164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2068</v>
      </c>
      <c r="D70" s="433">
        <f>IF(F69+SUM(E$17:E69)=D$10,F69,D$10-SUM(E$17:E69))</f>
        <v>0</v>
      </c>
      <c r="E70" s="164">
        <f t="shared" si="2"/>
        <v>0</v>
      </c>
      <c r="F70" s="203">
        <f t="shared" si="3"/>
        <v>0</v>
      </c>
      <c r="G70" s="164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2069</v>
      </c>
      <c r="D71" s="433">
        <f>IF(F70+SUM(E$17:E70)=D$10,F70,D$10-SUM(E$17:E70))</f>
        <v>0</v>
      </c>
      <c r="E71" s="164">
        <f t="shared" si="2"/>
        <v>0</v>
      </c>
      <c r="F71" s="203">
        <f t="shared" si="3"/>
        <v>0</v>
      </c>
      <c r="G71" s="164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2070</v>
      </c>
      <c r="D72" s="388">
        <f>IF(F71+SUM(E$17:E71)=D$10,F71,D$10-SUM(E$17:E71))</f>
        <v>0</v>
      </c>
      <c r="E72" s="170">
        <f t="shared" si="2"/>
        <v>0</v>
      </c>
      <c r="F72" s="483">
        <f t="shared" si="3"/>
        <v>0</v>
      </c>
      <c r="G72" s="170">
        <f t="shared" si="4"/>
        <v>0</v>
      </c>
      <c r="H72" s="169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1692022.9999999998</v>
      </c>
      <c r="F73" s="115"/>
      <c r="G73" s="115">
        <f>SUM(G17:G72)</f>
        <v>5835444.7260995246</v>
      </c>
      <c r="H73" s="115">
        <f>SUM(H17:H72)</f>
        <v>5835444.7260995246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17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243079.10869565216</v>
      </c>
      <c r="N87" s="202">
        <f>IF(J92&lt;D11,0,VLOOKUP(J92,C17:O72,11))</f>
        <v>243079.10869565216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244421.35953995908</v>
      </c>
      <c r="N88" s="204">
        <f>IF(J92&lt;D11,0,VLOOKUP(J92,C99:P154,7))</f>
        <v>244421.35953995908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Grady Customer Connection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1342.2508443069237</v>
      </c>
      <c r="N89" s="207">
        <f>+N88-N87</f>
        <v>1342.2508443069237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TP1300201</v>
      </c>
      <c r="E91" s="210" t="str">
        <f>E9</f>
        <v xml:space="preserve">  SPP Project ID = 30748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451">
        <v>1692023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2015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36783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>
        <f>IF(D93= "","-",D93)</f>
        <v>2015</v>
      </c>
      <c r="D99" s="436">
        <v>0</v>
      </c>
      <c r="E99" s="441">
        <v>0</v>
      </c>
      <c r="F99" s="436">
        <v>1625288</v>
      </c>
      <c r="G99" s="441">
        <v>812644</v>
      </c>
      <c r="H99" s="439">
        <v>110878.7398202499</v>
      </c>
      <c r="I99" s="316">
        <v>110878.7398202499</v>
      </c>
      <c r="J99" s="162">
        <f>+I99-H99</f>
        <v>0</v>
      </c>
      <c r="K99" s="162"/>
      <c r="L99" s="337">
        <f>+H99</f>
        <v>110878.7398202499</v>
      </c>
      <c r="M99" s="161">
        <f t="shared" ref="M99:M130" si="9">IF(L99&lt;&gt;0,+H99-L99,0)</f>
        <v>0</v>
      </c>
      <c r="N99" s="337">
        <f>+I99</f>
        <v>110878.7398202499</v>
      </c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>IU</v>
      </c>
      <c r="C100" s="157">
        <f>IF(D93="","-",+C99+1)</f>
        <v>2016</v>
      </c>
      <c r="D100" s="436">
        <v>1692023</v>
      </c>
      <c r="E100" s="441">
        <v>36783</v>
      </c>
      <c r="F100" s="436">
        <v>1655240</v>
      </c>
      <c r="G100" s="441">
        <v>1673631.5</v>
      </c>
      <c r="H100" s="439">
        <v>252540.45816220198</v>
      </c>
      <c r="I100" s="316">
        <v>252540.45816220198</v>
      </c>
      <c r="J100" s="162">
        <v>0</v>
      </c>
      <c r="K100" s="162"/>
      <c r="L100" s="337">
        <f>+H100</f>
        <v>252540.45816220198</v>
      </c>
      <c r="M100" s="161">
        <f>IF(L100&lt;&gt;0,+H100-L100,0)</f>
        <v>0</v>
      </c>
      <c r="N100" s="337">
        <f>+I100</f>
        <v>252540.45816220198</v>
      </c>
      <c r="O100" s="161">
        <f>IF(N100&lt;&gt;0,+I100-N100,0)</f>
        <v>0</v>
      </c>
      <c r="P100" s="161">
        <f>+O100-M100</f>
        <v>0</v>
      </c>
    </row>
    <row r="101" spans="1:16">
      <c r="B101" s="9" t="str">
        <f t="shared" ref="B101:B154" si="12">IF(D101=F100,"","IU")</f>
        <v/>
      </c>
      <c r="C101" s="157">
        <f>IF(D93="","-",+C100+1)</f>
        <v>2017</v>
      </c>
      <c r="D101" s="158">
        <f>IF(F100+SUM(E$99:E100)=D$92,F100,D$92-SUM(E$99:E100))</f>
        <v>1655240</v>
      </c>
      <c r="E101" s="164">
        <f t="shared" ref="E101:E154" si="13">IF(+J$96&lt;F100,J$96,D101)</f>
        <v>36783</v>
      </c>
      <c r="F101" s="163">
        <f t="shared" ref="F101:F154" si="14">+D101-E101</f>
        <v>1618457</v>
      </c>
      <c r="G101" s="163">
        <f t="shared" ref="G101:G154" si="15">+(F101+D101)/2</f>
        <v>1636848.5</v>
      </c>
      <c r="H101" s="167">
        <f t="shared" ref="H101:H154" si="16">+J$94*G101+E101</f>
        <v>244421.35953995908</v>
      </c>
      <c r="I101" s="317">
        <f t="shared" ref="I101:I154" si="17">+J$95*G101+E101</f>
        <v>244421.35953995908</v>
      </c>
      <c r="J101" s="162">
        <f t="shared" ref="J101:J154" si="18">+I101-H101</f>
        <v>0</v>
      </c>
      <c r="K101" s="162"/>
      <c r="L101" s="335"/>
      <c r="M101" s="162">
        <f t="shared" si="9"/>
        <v>0</v>
      </c>
      <c r="N101" s="335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2"/>
        <v/>
      </c>
      <c r="C102" s="157">
        <f>IF(D93="","-",+C101+1)</f>
        <v>2018</v>
      </c>
      <c r="D102" s="158">
        <f>IF(F101+SUM(E$99:E101)=D$92,F101,D$92-SUM(E$99:E101))</f>
        <v>1618457</v>
      </c>
      <c r="E102" s="164">
        <f t="shared" si="13"/>
        <v>36783</v>
      </c>
      <c r="F102" s="163">
        <f t="shared" si="14"/>
        <v>1581674</v>
      </c>
      <c r="G102" s="163">
        <f t="shared" si="15"/>
        <v>1600065.5</v>
      </c>
      <c r="H102" s="167">
        <f t="shared" si="16"/>
        <v>239755.34324159162</v>
      </c>
      <c r="I102" s="317">
        <f t="shared" si="17"/>
        <v>239755.34324159162</v>
      </c>
      <c r="J102" s="162">
        <f t="shared" si="18"/>
        <v>0</v>
      </c>
      <c r="K102" s="162"/>
      <c r="L102" s="335"/>
      <c r="M102" s="162">
        <f t="shared" si="9"/>
        <v>0</v>
      </c>
      <c r="N102" s="335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2"/>
        <v/>
      </c>
      <c r="C103" s="157">
        <f>IF(D93="","-",+C102+1)</f>
        <v>2019</v>
      </c>
      <c r="D103" s="158">
        <f>IF(F102+SUM(E$99:E102)=D$92,F102,D$92-SUM(E$99:E102))</f>
        <v>1581674</v>
      </c>
      <c r="E103" s="164">
        <f t="shared" si="13"/>
        <v>36783</v>
      </c>
      <c r="F103" s="163">
        <f t="shared" si="14"/>
        <v>1544891</v>
      </c>
      <c r="G103" s="163">
        <f t="shared" si="15"/>
        <v>1563282.5</v>
      </c>
      <c r="H103" s="167">
        <f t="shared" si="16"/>
        <v>235089.32694322418</v>
      </c>
      <c r="I103" s="317">
        <f t="shared" si="17"/>
        <v>235089.32694322418</v>
      </c>
      <c r="J103" s="162">
        <f t="shared" si="18"/>
        <v>0</v>
      </c>
      <c r="K103" s="162"/>
      <c r="L103" s="335"/>
      <c r="M103" s="162">
        <f t="shared" si="9"/>
        <v>0</v>
      </c>
      <c r="N103" s="335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2"/>
        <v/>
      </c>
      <c r="C104" s="157">
        <f>IF(D93="","-",+C103+1)</f>
        <v>2020</v>
      </c>
      <c r="D104" s="158">
        <f>IF(F103+SUM(E$99:E103)=D$92,F103,D$92-SUM(E$99:E103))</f>
        <v>1544891</v>
      </c>
      <c r="E104" s="164">
        <f t="shared" si="13"/>
        <v>36783</v>
      </c>
      <c r="F104" s="163">
        <f t="shared" si="14"/>
        <v>1508108</v>
      </c>
      <c r="G104" s="163">
        <f t="shared" si="15"/>
        <v>1526499.5</v>
      </c>
      <c r="H104" s="167">
        <f t="shared" si="16"/>
        <v>230423.31064485671</v>
      </c>
      <c r="I104" s="317">
        <f t="shared" si="17"/>
        <v>230423.31064485671</v>
      </c>
      <c r="J104" s="162">
        <f t="shared" si="18"/>
        <v>0</v>
      </c>
      <c r="K104" s="162"/>
      <c r="L104" s="335"/>
      <c r="M104" s="162">
        <f t="shared" si="9"/>
        <v>0</v>
      </c>
      <c r="N104" s="335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2"/>
        <v/>
      </c>
      <c r="C105" s="157">
        <f>IF(D93="","-",+C104+1)</f>
        <v>2021</v>
      </c>
      <c r="D105" s="158">
        <f>IF(F104+SUM(E$99:E104)=D$92,F104,D$92-SUM(E$99:E104))</f>
        <v>1508108</v>
      </c>
      <c r="E105" s="164">
        <f t="shared" si="13"/>
        <v>36783</v>
      </c>
      <c r="F105" s="163">
        <f t="shared" si="14"/>
        <v>1471325</v>
      </c>
      <c r="G105" s="163">
        <f t="shared" si="15"/>
        <v>1489716.5</v>
      </c>
      <c r="H105" s="167">
        <f t="shared" si="16"/>
        <v>225757.29434648927</v>
      </c>
      <c r="I105" s="317">
        <f t="shared" si="17"/>
        <v>225757.29434648927</v>
      </c>
      <c r="J105" s="162">
        <f t="shared" si="18"/>
        <v>0</v>
      </c>
      <c r="K105" s="162"/>
      <c r="L105" s="335"/>
      <c r="M105" s="162">
        <f t="shared" si="9"/>
        <v>0</v>
      </c>
      <c r="N105" s="335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2"/>
        <v/>
      </c>
      <c r="C106" s="157">
        <f>IF(D93="","-",+C105+1)</f>
        <v>2022</v>
      </c>
      <c r="D106" s="158">
        <f>IF(F105+SUM(E$99:E105)=D$92,F105,D$92-SUM(E$99:E105))</f>
        <v>1471325</v>
      </c>
      <c r="E106" s="164">
        <f t="shared" si="13"/>
        <v>36783</v>
      </c>
      <c r="F106" s="163">
        <f t="shared" si="14"/>
        <v>1434542</v>
      </c>
      <c r="G106" s="163">
        <f t="shared" si="15"/>
        <v>1452933.5</v>
      </c>
      <c r="H106" s="167">
        <f t="shared" si="16"/>
        <v>221091.27804812181</v>
      </c>
      <c r="I106" s="317">
        <f t="shared" si="17"/>
        <v>221091.27804812181</v>
      </c>
      <c r="J106" s="162">
        <f t="shared" si="18"/>
        <v>0</v>
      </c>
      <c r="K106" s="162"/>
      <c r="L106" s="335"/>
      <c r="M106" s="162">
        <f t="shared" si="9"/>
        <v>0</v>
      </c>
      <c r="N106" s="335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2"/>
        <v/>
      </c>
      <c r="C107" s="157">
        <f>IF(D93="","-",+C106+1)</f>
        <v>2023</v>
      </c>
      <c r="D107" s="158">
        <f>IF(F106+SUM(E$99:E106)=D$92,F106,D$92-SUM(E$99:E106))</f>
        <v>1434542</v>
      </c>
      <c r="E107" s="164">
        <f t="shared" si="13"/>
        <v>36783</v>
      </c>
      <c r="F107" s="163">
        <f t="shared" si="14"/>
        <v>1397759</v>
      </c>
      <c r="G107" s="163">
        <f t="shared" si="15"/>
        <v>1416150.5</v>
      </c>
      <c r="H107" s="167">
        <f t="shared" si="16"/>
        <v>216425.26174975437</v>
      </c>
      <c r="I107" s="317">
        <f t="shared" si="17"/>
        <v>216425.26174975437</v>
      </c>
      <c r="J107" s="162">
        <f t="shared" si="18"/>
        <v>0</v>
      </c>
      <c r="K107" s="162"/>
      <c r="L107" s="335"/>
      <c r="M107" s="162">
        <f t="shared" si="9"/>
        <v>0</v>
      </c>
      <c r="N107" s="335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2"/>
        <v/>
      </c>
      <c r="C108" s="157">
        <f>IF(D93="","-",+C107+1)</f>
        <v>2024</v>
      </c>
      <c r="D108" s="158">
        <f>IF(F107+SUM(E$99:E107)=D$92,F107,D$92-SUM(E$99:E107))</f>
        <v>1397759</v>
      </c>
      <c r="E108" s="164">
        <f t="shared" si="13"/>
        <v>36783</v>
      </c>
      <c r="F108" s="163">
        <f t="shared" si="14"/>
        <v>1360976</v>
      </c>
      <c r="G108" s="163">
        <f t="shared" si="15"/>
        <v>1379367.5</v>
      </c>
      <c r="H108" s="167">
        <f t="shared" si="16"/>
        <v>211759.2454513869</v>
      </c>
      <c r="I108" s="317">
        <f t="shared" si="17"/>
        <v>211759.2454513869</v>
      </c>
      <c r="J108" s="162">
        <f t="shared" si="18"/>
        <v>0</v>
      </c>
      <c r="K108" s="162"/>
      <c r="L108" s="335"/>
      <c r="M108" s="162">
        <f t="shared" si="9"/>
        <v>0</v>
      </c>
      <c r="N108" s="335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2"/>
        <v/>
      </c>
      <c r="C109" s="157">
        <f>IF(D93="","-",+C108+1)</f>
        <v>2025</v>
      </c>
      <c r="D109" s="158">
        <f>IF(F108+SUM(E$99:E108)=D$92,F108,D$92-SUM(E$99:E108))</f>
        <v>1360976</v>
      </c>
      <c r="E109" s="164">
        <f t="shared" si="13"/>
        <v>36783</v>
      </c>
      <c r="F109" s="163">
        <f t="shared" si="14"/>
        <v>1324193</v>
      </c>
      <c r="G109" s="163">
        <f t="shared" si="15"/>
        <v>1342584.5</v>
      </c>
      <c r="H109" s="167">
        <f t="shared" si="16"/>
        <v>207093.22915301946</v>
      </c>
      <c r="I109" s="317">
        <f t="shared" si="17"/>
        <v>207093.22915301946</v>
      </c>
      <c r="J109" s="162">
        <f t="shared" si="18"/>
        <v>0</v>
      </c>
      <c r="K109" s="162"/>
      <c r="L109" s="335"/>
      <c r="M109" s="162">
        <f t="shared" si="9"/>
        <v>0</v>
      </c>
      <c r="N109" s="335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2"/>
        <v/>
      </c>
      <c r="C110" s="157">
        <f>IF(D93="","-",+C109+1)</f>
        <v>2026</v>
      </c>
      <c r="D110" s="158">
        <f>IF(F109+SUM(E$99:E109)=D$92,F109,D$92-SUM(E$99:E109))</f>
        <v>1324193</v>
      </c>
      <c r="E110" s="164">
        <f t="shared" si="13"/>
        <v>36783</v>
      </c>
      <c r="F110" s="163">
        <f t="shared" si="14"/>
        <v>1287410</v>
      </c>
      <c r="G110" s="163">
        <f t="shared" si="15"/>
        <v>1305801.5</v>
      </c>
      <c r="H110" s="167">
        <f t="shared" si="16"/>
        <v>202427.21285465203</v>
      </c>
      <c r="I110" s="317">
        <f t="shared" si="17"/>
        <v>202427.21285465203</v>
      </c>
      <c r="J110" s="162">
        <f t="shared" si="18"/>
        <v>0</v>
      </c>
      <c r="K110" s="162"/>
      <c r="L110" s="335"/>
      <c r="M110" s="162">
        <f t="shared" si="9"/>
        <v>0</v>
      </c>
      <c r="N110" s="335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2"/>
        <v/>
      </c>
      <c r="C111" s="157">
        <f>IF(D93="","-",+C110+1)</f>
        <v>2027</v>
      </c>
      <c r="D111" s="158">
        <f>IF(F110+SUM(E$99:E110)=D$92,F110,D$92-SUM(E$99:E110))</f>
        <v>1287410</v>
      </c>
      <c r="E111" s="164">
        <f t="shared" si="13"/>
        <v>36783</v>
      </c>
      <c r="F111" s="163">
        <f t="shared" si="14"/>
        <v>1250627</v>
      </c>
      <c r="G111" s="163">
        <f t="shared" si="15"/>
        <v>1269018.5</v>
      </c>
      <c r="H111" s="167">
        <f t="shared" si="16"/>
        <v>197761.19655628456</v>
      </c>
      <c r="I111" s="317">
        <f t="shared" si="17"/>
        <v>197761.19655628456</v>
      </c>
      <c r="J111" s="162">
        <f t="shared" si="18"/>
        <v>0</v>
      </c>
      <c r="K111" s="162"/>
      <c r="L111" s="335"/>
      <c r="M111" s="162">
        <f t="shared" si="9"/>
        <v>0</v>
      </c>
      <c r="N111" s="335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2"/>
        <v/>
      </c>
      <c r="C112" s="157">
        <f>IF(D93="","-",+C111+1)</f>
        <v>2028</v>
      </c>
      <c r="D112" s="158">
        <f>IF(F111+SUM(E$99:E111)=D$92,F111,D$92-SUM(E$99:E111))</f>
        <v>1250627</v>
      </c>
      <c r="E112" s="164">
        <f t="shared" si="13"/>
        <v>36783</v>
      </c>
      <c r="F112" s="163">
        <f t="shared" si="14"/>
        <v>1213844</v>
      </c>
      <c r="G112" s="163">
        <f t="shared" si="15"/>
        <v>1232235.5</v>
      </c>
      <c r="H112" s="167">
        <f t="shared" si="16"/>
        <v>193095.18025791712</v>
      </c>
      <c r="I112" s="317">
        <f t="shared" si="17"/>
        <v>193095.18025791712</v>
      </c>
      <c r="J112" s="162">
        <f t="shared" si="18"/>
        <v>0</v>
      </c>
      <c r="K112" s="162"/>
      <c r="L112" s="335"/>
      <c r="M112" s="162">
        <f t="shared" si="9"/>
        <v>0</v>
      </c>
      <c r="N112" s="335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2"/>
        <v/>
      </c>
      <c r="C113" s="157">
        <f>IF(D93="","-",+C112+1)</f>
        <v>2029</v>
      </c>
      <c r="D113" s="158">
        <f>IF(F112+SUM(E$99:E112)=D$92,F112,D$92-SUM(E$99:E112))</f>
        <v>1213844</v>
      </c>
      <c r="E113" s="164">
        <f t="shared" si="13"/>
        <v>36783</v>
      </c>
      <c r="F113" s="163">
        <f t="shared" si="14"/>
        <v>1177061</v>
      </c>
      <c r="G113" s="163">
        <f t="shared" si="15"/>
        <v>1195452.5</v>
      </c>
      <c r="H113" s="167">
        <f t="shared" si="16"/>
        <v>188429.16395954965</v>
      </c>
      <c r="I113" s="317">
        <f t="shared" si="17"/>
        <v>188429.16395954965</v>
      </c>
      <c r="J113" s="162">
        <f t="shared" si="18"/>
        <v>0</v>
      </c>
      <c r="K113" s="162"/>
      <c r="L113" s="335"/>
      <c r="M113" s="162">
        <f t="shared" si="9"/>
        <v>0</v>
      </c>
      <c r="N113" s="335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2"/>
        <v/>
      </c>
      <c r="C114" s="157">
        <f>IF(D93="","-",+C113+1)</f>
        <v>2030</v>
      </c>
      <c r="D114" s="158">
        <f>IF(F113+SUM(E$99:E113)=D$92,F113,D$92-SUM(E$99:E113))</f>
        <v>1177061</v>
      </c>
      <c r="E114" s="164">
        <f t="shared" si="13"/>
        <v>36783</v>
      </c>
      <c r="F114" s="163">
        <f t="shared" si="14"/>
        <v>1140278</v>
      </c>
      <c r="G114" s="163">
        <f t="shared" si="15"/>
        <v>1158669.5</v>
      </c>
      <c r="H114" s="167">
        <f t="shared" si="16"/>
        <v>183763.14766118221</v>
      </c>
      <c r="I114" s="317">
        <f t="shared" si="17"/>
        <v>183763.14766118221</v>
      </c>
      <c r="J114" s="162">
        <f t="shared" si="18"/>
        <v>0</v>
      </c>
      <c r="K114" s="162"/>
      <c r="L114" s="335"/>
      <c r="M114" s="162">
        <f t="shared" si="9"/>
        <v>0</v>
      </c>
      <c r="N114" s="335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2"/>
        <v/>
      </c>
      <c r="C115" s="157">
        <f>IF(D93="","-",+C114+1)</f>
        <v>2031</v>
      </c>
      <c r="D115" s="158">
        <f>IF(F114+SUM(E$99:E114)=D$92,F114,D$92-SUM(E$99:E114))</f>
        <v>1140278</v>
      </c>
      <c r="E115" s="164">
        <f t="shared" si="13"/>
        <v>36783</v>
      </c>
      <c r="F115" s="163">
        <f t="shared" si="14"/>
        <v>1103495</v>
      </c>
      <c r="G115" s="163">
        <f t="shared" si="15"/>
        <v>1121886.5</v>
      </c>
      <c r="H115" s="167">
        <f t="shared" si="16"/>
        <v>179097.13136281475</v>
      </c>
      <c r="I115" s="317">
        <f t="shared" si="17"/>
        <v>179097.13136281475</v>
      </c>
      <c r="J115" s="162">
        <f t="shared" si="18"/>
        <v>0</v>
      </c>
      <c r="K115" s="162"/>
      <c r="L115" s="335"/>
      <c r="M115" s="162">
        <f t="shared" si="9"/>
        <v>0</v>
      </c>
      <c r="N115" s="335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2"/>
        <v/>
      </c>
      <c r="C116" s="157">
        <f>IF(D93="","-",+C115+1)</f>
        <v>2032</v>
      </c>
      <c r="D116" s="158">
        <f>IF(F115+SUM(E$99:E115)=D$92,F115,D$92-SUM(E$99:E115))</f>
        <v>1103495</v>
      </c>
      <c r="E116" s="164">
        <f t="shared" si="13"/>
        <v>36783</v>
      </c>
      <c r="F116" s="163">
        <f t="shared" si="14"/>
        <v>1066712</v>
      </c>
      <c r="G116" s="163">
        <f t="shared" si="15"/>
        <v>1085103.5</v>
      </c>
      <c r="H116" s="167">
        <f t="shared" si="16"/>
        <v>174431.11506444731</v>
      </c>
      <c r="I116" s="317">
        <f t="shared" si="17"/>
        <v>174431.11506444731</v>
      </c>
      <c r="J116" s="162">
        <f t="shared" si="18"/>
        <v>0</v>
      </c>
      <c r="K116" s="162"/>
      <c r="L116" s="335"/>
      <c r="M116" s="162">
        <f t="shared" si="9"/>
        <v>0</v>
      </c>
      <c r="N116" s="335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2"/>
        <v/>
      </c>
      <c r="C117" s="157">
        <f>IF(D93="","-",+C116+1)</f>
        <v>2033</v>
      </c>
      <c r="D117" s="158">
        <f>IF(F116+SUM(E$99:E116)=D$92,F116,D$92-SUM(E$99:E116))</f>
        <v>1066712</v>
      </c>
      <c r="E117" s="164">
        <f t="shared" si="13"/>
        <v>36783</v>
      </c>
      <c r="F117" s="163">
        <f t="shared" si="14"/>
        <v>1029929</v>
      </c>
      <c r="G117" s="163">
        <f t="shared" si="15"/>
        <v>1048320.5</v>
      </c>
      <c r="H117" s="167">
        <f t="shared" si="16"/>
        <v>169765.09876607987</v>
      </c>
      <c r="I117" s="317">
        <f t="shared" si="17"/>
        <v>169765.09876607987</v>
      </c>
      <c r="J117" s="162">
        <f t="shared" si="18"/>
        <v>0</v>
      </c>
      <c r="K117" s="162"/>
      <c r="L117" s="335"/>
      <c r="M117" s="162">
        <f t="shared" si="9"/>
        <v>0</v>
      </c>
      <c r="N117" s="335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2"/>
        <v/>
      </c>
      <c r="C118" s="157">
        <f>IF(D93="","-",+C117+1)</f>
        <v>2034</v>
      </c>
      <c r="D118" s="158">
        <f>IF(F117+SUM(E$99:E117)=D$92,F117,D$92-SUM(E$99:E117))</f>
        <v>1029929</v>
      </c>
      <c r="E118" s="164">
        <f t="shared" si="13"/>
        <v>36783</v>
      </c>
      <c r="F118" s="163">
        <f t="shared" si="14"/>
        <v>993146</v>
      </c>
      <c r="G118" s="163">
        <f t="shared" si="15"/>
        <v>1011537.5</v>
      </c>
      <c r="H118" s="167">
        <f t="shared" si="16"/>
        <v>165099.0824677124</v>
      </c>
      <c r="I118" s="317">
        <f t="shared" si="17"/>
        <v>165099.0824677124</v>
      </c>
      <c r="J118" s="162">
        <f t="shared" si="18"/>
        <v>0</v>
      </c>
      <c r="K118" s="162"/>
      <c r="L118" s="335"/>
      <c r="M118" s="162">
        <f t="shared" si="9"/>
        <v>0</v>
      </c>
      <c r="N118" s="335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2"/>
        <v/>
      </c>
      <c r="C119" s="157">
        <f>IF(D93="","-",+C118+1)</f>
        <v>2035</v>
      </c>
      <c r="D119" s="158">
        <f>IF(F118+SUM(E$99:E118)=D$92,F118,D$92-SUM(E$99:E118))</f>
        <v>993146</v>
      </c>
      <c r="E119" s="164">
        <f t="shared" si="13"/>
        <v>36783</v>
      </c>
      <c r="F119" s="163">
        <f t="shared" si="14"/>
        <v>956363</v>
      </c>
      <c r="G119" s="163">
        <f t="shared" si="15"/>
        <v>974754.5</v>
      </c>
      <c r="H119" s="167">
        <f t="shared" si="16"/>
        <v>160433.06616934494</v>
      </c>
      <c r="I119" s="317">
        <f t="shared" si="17"/>
        <v>160433.06616934494</v>
      </c>
      <c r="J119" s="162">
        <f t="shared" si="18"/>
        <v>0</v>
      </c>
      <c r="K119" s="162"/>
      <c r="L119" s="335"/>
      <c r="M119" s="162">
        <f t="shared" si="9"/>
        <v>0</v>
      </c>
      <c r="N119" s="335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2"/>
        <v/>
      </c>
      <c r="C120" s="157">
        <f>IF(D93="","-",+C119+1)</f>
        <v>2036</v>
      </c>
      <c r="D120" s="158">
        <f>IF(F119+SUM(E$99:E119)=D$92,F119,D$92-SUM(E$99:E119))</f>
        <v>956363</v>
      </c>
      <c r="E120" s="164">
        <f t="shared" si="13"/>
        <v>36783</v>
      </c>
      <c r="F120" s="163">
        <f t="shared" si="14"/>
        <v>919580</v>
      </c>
      <c r="G120" s="163">
        <f t="shared" si="15"/>
        <v>937971.5</v>
      </c>
      <c r="H120" s="167">
        <f t="shared" si="16"/>
        <v>155767.0498709775</v>
      </c>
      <c r="I120" s="317">
        <f t="shared" si="17"/>
        <v>155767.0498709775</v>
      </c>
      <c r="J120" s="162">
        <f t="shared" si="18"/>
        <v>0</v>
      </c>
      <c r="K120" s="162"/>
      <c r="L120" s="335"/>
      <c r="M120" s="162">
        <f t="shared" si="9"/>
        <v>0</v>
      </c>
      <c r="N120" s="335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2"/>
        <v/>
      </c>
      <c r="C121" s="157">
        <f>IF(D93="","-",+C120+1)</f>
        <v>2037</v>
      </c>
      <c r="D121" s="158">
        <f>IF(F120+SUM(E$99:E120)=D$92,F120,D$92-SUM(E$99:E120))</f>
        <v>919580</v>
      </c>
      <c r="E121" s="164">
        <f t="shared" si="13"/>
        <v>36783</v>
      </c>
      <c r="F121" s="163">
        <f t="shared" si="14"/>
        <v>882797</v>
      </c>
      <c r="G121" s="163">
        <f t="shared" si="15"/>
        <v>901188.5</v>
      </c>
      <c r="H121" s="167">
        <f t="shared" si="16"/>
        <v>151101.03357261006</v>
      </c>
      <c r="I121" s="317">
        <f t="shared" si="17"/>
        <v>151101.03357261006</v>
      </c>
      <c r="J121" s="162">
        <f t="shared" si="18"/>
        <v>0</v>
      </c>
      <c r="K121" s="162"/>
      <c r="L121" s="335"/>
      <c r="M121" s="162">
        <f t="shared" si="9"/>
        <v>0</v>
      </c>
      <c r="N121" s="335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2"/>
        <v/>
      </c>
      <c r="C122" s="157">
        <f>IF(D93="","-",+C121+1)</f>
        <v>2038</v>
      </c>
      <c r="D122" s="158">
        <f>IF(F121+SUM(E$99:E121)=D$92,F121,D$92-SUM(E$99:E121))</f>
        <v>882797</v>
      </c>
      <c r="E122" s="164">
        <f t="shared" si="13"/>
        <v>36783</v>
      </c>
      <c r="F122" s="163">
        <f t="shared" si="14"/>
        <v>846014</v>
      </c>
      <c r="G122" s="163">
        <f t="shared" si="15"/>
        <v>864405.5</v>
      </c>
      <c r="H122" s="167">
        <f t="shared" si="16"/>
        <v>146435.01727424259</v>
      </c>
      <c r="I122" s="317">
        <f t="shared" si="17"/>
        <v>146435.01727424259</v>
      </c>
      <c r="J122" s="162">
        <f t="shared" si="18"/>
        <v>0</v>
      </c>
      <c r="K122" s="162"/>
      <c r="L122" s="335"/>
      <c r="M122" s="162">
        <f t="shared" si="9"/>
        <v>0</v>
      </c>
      <c r="N122" s="335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2"/>
        <v/>
      </c>
      <c r="C123" s="157">
        <f>IF(D93="","-",+C122+1)</f>
        <v>2039</v>
      </c>
      <c r="D123" s="158">
        <f>IF(F122+SUM(E$99:E122)=D$92,F122,D$92-SUM(E$99:E122))</f>
        <v>846014</v>
      </c>
      <c r="E123" s="164">
        <f t="shared" si="13"/>
        <v>36783</v>
      </c>
      <c r="F123" s="163">
        <f t="shared" si="14"/>
        <v>809231</v>
      </c>
      <c r="G123" s="163">
        <f t="shared" si="15"/>
        <v>827622.5</v>
      </c>
      <c r="H123" s="167">
        <f t="shared" si="16"/>
        <v>141769.00097587515</v>
      </c>
      <c r="I123" s="317">
        <f t="shared" si="17"/>
        <v>141769.00097587515</v>
      </c>
      <c r="J123" s="162">
        <f t="shared" si="18"/>
        <v>0</v>
      </c>
      <c r="K123" s="162"/>
      <c r="L123" s="335"/>
      <c r="M123" s="162">
        <f t="shared" si="9"/>
        <v>0</v>
      </c>
      <c r="N123" s="335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2"/>
        <v/>
      </c>
      <c r="C124" s="157">
        <f>IF(D93="","-",+C123+1)</f>
        <v>2040</v>
      </c>
      <c r="D124" s="158">
        <f>IF(F123+SUM(E$99:E123)=D$92,F123,D$92-SUM(E$99:E123))</f>
        <v>809231</v>
      </c>
      <c r="E124" s="164">
        <f t="shared" si="13"/>
        <v>36783</v>
      </c>
      <c r="F124" s="163">
        <f t="shared" si="14"/>
        <v>772448</v>
      </c>
      <c r="G124" s="163">
        <f t="shared" si="15"/>
        <v>790839.5</v>
      </c>
      <c r="H124" s="167">
        <f t="shared" si="16"/>
        <v>137102.98467750772</v>
      </c>
      <c r="I124" s="317">
        <f t="shared" si="17"/>
        <v>137102.98467750772</v>
      </c>
      <c r="J124" s="162">
        <f t="shared" si="18"/>
        <v>0</v>
      </c>
      <c r="K124" s="162"/>
      <c r="L124" s="335"/>
      <c r="M124" s="162">
        <f t="shared" si="9"/>
        <v>0</v>
      </c>
      <c r="N124" s="335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2"/>
        <v/>
      </c>
      <c r="C125" s="157">
        <f>IF(D93="","-",+C124+1)</f>
        <v>2041</v>
      </c>
      <c r="D125" s="158">
        <f>IF(F124+SUM(E$99:E124)=D$92,F124,D$92-SUM(E$99:E124))</f>
        <v>772448</v>
      </c>
      <c r="E125" s="164">
        <f t="shared" si="13"/>
        <v>36783</v>
      </c>
      <c r="F125" s="163">
        <f t="shared" si="14"/>
        <v>735665</v>
      </c>
      <c r="G125" s="163">
        <f t="shared" si="15"/>
        <v>754056.5</v>
      </c>
      <c r="H125" s="167">
        <f t="shared" si="16"/>
        <v>132436.96837914025</v>
      </c>
      <c r="I125" s="317">
        <f t="shared" si="17"/>
        <v>132436.96837914025</v>
      </c>
      <c r="J125" s="162">
        <f t="shared" si="18"/>
        <v>0</v>
      </c>
      <c r="K125" s="162"/>
      <c r="L125" s="335"/>
      <c r="M125" s="162">
        <f t="shared" si="9"/>
        <v>0</v>
      </c>
      <c r="N125" s="335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2"/>
        <v/>
      </c>
      <c r="C126" s="157">
        <f>IF(D93="","-",+C125+1)</f>
        <v>2042</v>
      </c>
      <c r="D126" s="158">
        <f>IF(F125+SUM(E$99:E125)=D$92,F125,D$92-SUM(E$99:E125))</f>
        <v>735665</v>
      </c>
      <c r="E126" s="164">
        <f t="shared" si="13"/>
        <v>36783</v>
      </c>
      <c r="F126" s="163">
        <f t="shared" si="14"/>
        <v>698882</v>
      </c>
      <c r="G126" s="163">
        <f t="shared" si="15"/>
        <v>717273.5</v>
      </c>
      <c r="H126" s="167">
        <f t="shared" si="16"/>
        <v>127770.9520807728</v>
      </c>
      <c r="I126" s="317">
        <f t="shared" si="17"/>
        <v>127770.9520807728</v>
      </c>
      <c r="J126" s="162">
        <f t="shared" si="18"/>
        <v>0</v>
      </c>
      <c r="K126" s="162"/>
      <c r="L126" s="335"/>
      <c r="M126" s="162">
        <f t="shared" si="9"/>
        <v>0</v>
      </c>
      <c r="N126" s="335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2"/>
        <v/>
      </c>
      <c r="C127" s="157">
        <f>IF(D93="","-",+C126+1)</f>
        <v>2043</v>
      </c>
      <c r="D127" s="158">
        <f>IF(F126+SUM(E$99:E126)=D$92,F126,D$92-SUM(E$99:E126))</f>
        <v>698882</v>
      </c>
      <c r="E127" s="164">
        <f t="shared" si="13"/>
        <v>36783</v>
      </c>
      <c r="F127" s="163">
        <f t="shared" si="14"/>
        <v>662099</v>
      </c>
      <c r="G127" s="163">
        <f t="shared" si="15"/>
        <v>680490.5</v>
      </c>
      <c r="H127" s="167">
        <f t="shared" si="16"/>
        <v>123104.93578240534</v>
      </c>
      <c r="I127" s="317">
        <f t="shared" si="17"/>
        <v>123104.93578240534</v>
      </c>
      <c r="J127" s="162">
        <f t="shared" si="18"/>
        <v>0</v>
      </c>
      <c r="K127" s="162"/>
      <c r="L127" s="335"/>
      <c r="M127" s="162">
        <f t="shared" si="9"/>
        <v>0</v>
      </c>
      <c r="N127" s="335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2"/>
        <v/>
      </c>
      <c r="C128" s="157">
        <f>IF(D93="","-",+C127+1)</f>
        <v>2044</v>
      </c>
      <c r="D128" s="158">
        <f>IF(F127+SUM(E$99:E127)=D$92,F127,D$92-SUM(E$99:E127))</f>
        <v>662099</v>
      </c>
      <c r="E128" s="164">
        <f t="shared" si="13"/>
        <v>36783</v>
      </c>
      <c r="F128" s="163">
        <f t="shared" si="14"/>
        <v>625316</v>
      </c>
      <c r="G128" s="163">
        <f t="shared" si="15"/>
        <v>643707.5</v>
      </c>
      <c r="H128" s="167">
        <f t="shared" si="16"/>
        <v>118438.91948403789</v>
      </c>
      <c r="I128" s="317">
        <f t="shared" si="17"/>
        <v>118438.91948403789</v>
      </c>
      <c r="J128" s="162">
        <f t="shared" si="18"/>
        <v>0</v>
      </c>
      <c r="K128" s="162"/>
      <c r="L128" s="335"/>
      <c r="M128" s="162">
        <f t="shared" si="9"/>
        <v>0</v>
      </c>
      <c r="N128" s="335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2"/>
        <v/>
      </c>
      <c r="C129" s="157">
        <f>IF(D93="","-",+C128+1)</f>
        <v>2045</v>
      </c>
      <c r="D129" s="158">
        <f>IF(F128+SUM(E$99:E128)=D$92,F128,D$92-SUM(E$99:E128))</f>
        <v>625316</v>
      </c>
      <c r="E129" s="164">
        <f t="shared" si="13"/>
        <v>36783</v>
      </c>
      <c r="F129" s="163">
        <f t="shared" si="14"/>
        <v>588533</v>
      </c>
      <c r="G129" s="163">
        <f t="shared" si="15"/>
        <v>606924.5</v>
      </c>
      <c r="H129" s="167">
        <f t="shared" si="16"/>
        <v>113772.90318567044</v>
      </c>
      <c r="I129" s="317">
        <f t="shared" si="17"/>
        <v>113772.90318567044</v>
      </c>
      <c r="J129" s="162">
        <f t="shared" si="18"/>
        <v>0</v>
      </c>
      <c r="K129" s="162"/>
      <c r="L129" s="335"/>
      <c r="M129" s="162">
        <f t="shared" si="9"/>
        <v>0</v>
      </c>
      <c r="N129" s="335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2"/>
        <v/>
      </c>
      <c r="C130" s="157">
        <f>IF(D93="","-",+C129+1)</f>
        <v>2046</v>
      </c>
      <c r="D130" s="158">
        <f>IF(F129+SUM(E$99:E129)=D$92,F129,D$92-SUM(E$99:E129))</f>
        <v>588533</v>
      </c>
      <c r="E130" s="164">
        <f t="shared" si="13"/>
        <v>36783</v>
      </c>
      <c r="F130" s="163">
        <f t="shared" si="14"/>
        <v>551750</v>
      </c>
      <c r="G130" s="163">
        <f t="shared" si="15"/>
        <v>570141.5</v>
      </c>
      <c r="H130" s="167">
        <f t="shared" si="16"/>
        <v>109106.886887303</v>
      </c>
      <c r="I130" s="317">
        <f t="shared" si="17"/>
        <v>109106.886887303</v>
      </c>
      <c r="J130" s="162">
        <f t="shared" si="18"/>
        <v>0</v>
      </c>
      <c r="K130" s="162"/>
      <c r="L130" s="335"/>
      <c r="M130" s="162">
        <f t="shared" si="9"/>
        <v>0</v>
      </c>
      <c r="N130" s="335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2"/>
        <v/>
      </c>
      <c r="C131" s="157">
        <f>IF(D93="","-",+C130+1)</f>
        <v>2047</v>
      </c>
      <c r="D131" s="158">
        <f>IF(F130+SUM(E$99:E130)=D$92,F130,D$92-SUM(E$99:E130))</f>
        <v>551750</v>
      </c>
      <c r="E131" s="164">
        <f t="shared" si="13"/>
        <v>36783</v>
      </c>
      <c r="F131" s="163">
        <f t="shared" si="14"/>
        <v>514967</v>
      </c>
      <c r="G131" s="163">
        <f t="shared" si="15"/>
        <v>533358.5</v>
      </c>
      <c r="H131" s="167">
        <f t="shared" si="16"/>
        <v>104440.87058893555</v>
      </c>
      <c r="I131" s="317">
        <f t="shared" si="17"/>
        <v>104440.87058893555</v>
      </c>
      <c r="J131" s="162">
        <f t="shared" si="18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12"/>
        <v/>
      </c>
      <c r="C132" s="157">
        <f>IF(D93="","-",+C131+1)</f>
        <v>2048</v>
      </c>
      <c r="D132" s="158">
        <f>IF(F131+SUM(E$99:E131)=D$92,F131,D$92-SUM(E$99:E131))</f>
        <v>514967</v>
      </c>
      <c r="E132" s="164">
        <f t="shared" si="13"/>
        <v>36783</v>
      </c>
      <c r="F132" s="163">
        <f t="shared" si="14"/>
        <v>478184</v>
      </c>
      <c r="G132" s="163">
        <f t="shared" si="15"/>
        <v>496575.5</v>
      </c>
      <c r="H132" s="167">
        <f t="shared" si="16"/>
        <v>99774.854290568095</v>
      </c>
      <c r="I132" s="317">
        <f t="shared" si="17"/>
        <v>99774.854290568095</v>
      </c>
      <c r="J132" s="162">
        <f t="shared" si="18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12"/>
        <v/>
      </c>
      <c r="C133" s="157">
        <f>IF(D93="","-",+C132+1)</f>
        <v>2049</v>
      </c>
      <c r="D133" s="158">
        <f>IF(F132+SUM(E$99:E132)=D$92,F132,D$92-SUM(E$99:E132))</f>
        <v>478184</v>
      </c>
      <c r="E133" s="164">
        <f t="shared" si="13"/>
        <v>36783</v>
      </c>
      <c r="F133" s="163">
        <f t="shared" si="14"/>
        <v>441401</v>
      </c>
      <c r="G133" s="163">
        <f t="shared" si="15"/>
        <v>459792.5</v>
      </c>
      <c r="H133" s="167">
        <f t="shared" si="16"/>
        <v>95108.837992200642</v>
      </c>
      <c r="I133" s="317">
        <f t="shared" si="17"/>
        <v>95108.837992200642</v>
      </c>
      <c r="J133" s="162">
        <f t="shared" si="18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12"/>
        <v/>
      </c>
      <c r="C134" s="157">
        <f>IF(D93="","-",+C133+1)</f>
        <v>2050</v>
      </c>
      <c r="D134" s="158">
        <f>IF(F133+SUM(E$99:E133)=D$92,F133,D$92-SUM(E$99:E133))</f>
        <v>441401</v>
      </c>
      <c r="E134" s="164">
        <f t="shared" si="13"/>
        <v>36783</v>
      </c>
      <c r="F134" s="163">
        <f t="shared" si="14"/>
        <v>404618</v>
      </c>
      <c r="G134" s="163">
        <f t="shared" si="15"/>
        <v>423009.5</v>
      </c>
      <c r="H134" s="167">
        <f t="shared" si="16"/>
        <v>90442.82169383319</v>
      </c>
      <c r="I134" s="317">
        <f t="shared" si="17"/>
        <v>90442.82169383319</v>
      </c>
      <c r="J134" s="162">
        <f t="shared" si="18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12"/>
        <v/>
      </c>
      <c r="C135" s="157">
        <f>IF(D93="","-",+C134+1)</f>
        <v>2051</v>
      </c>
      <c r="D135" s="158">
        <f>IF(F134+SUM(E$99:E134)=D$92,F134,D$92-SUM(E$99:E134))</f>
        <v>404618</v>
      </c>
      <c r="E135" s="164">
        <f t="shared" si="13"/>
        <v>36783</v>
      </c>
      <c r="F135" s="163">
        <f t="shared" si="14"/>
        <v>367835</v>
      </c>
      <c r="G135" s="163">
        <f t="shared" si="15"/>
        <v>386226.5</v>
      </c>
      <c r="H135" s="167">
        <f t="shared" si="16"/>
        <v>85776.805395465737</v>
      </c>
      <c r="I135" s="317">
        <f t="shared" si="17"/>
        <v>85776.805395465737</v>
      </c>
      <c r="J135" s="162">
        <f t="shared" si="18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12"/>
        <v/>
      </c>
      <c r="C136" s="157">
        <f>IF(D93="","-",+C135+1)</f>
        <v>2052</v>
      </c>
      <c r="D136" s="158">
        <f>IF(F135+SUM(E$99:E135)=D$92,F135,D$92-SUM(E$99:E135))</f>
        <v>367835</v>
      </c>
      <c r="E136" s="164">
        <f t="shared" si="13"/>
        <v>36783</v>
      </c>
      <c r="F136" s="163">
        <f t="shared" si="14"/>
        <v>331052</v>
      </c>
      <c r="G136" s="163">
        <f t="shared" si="15"/>
        <v>349443.5</v>
      </c>
      <c r="H136" s="167">
        <f t="shared" si="16"/>
        <v>81110.789097098284</v>
      </c>
      <c r="I136" s="317">
        <f t="shared" si="17"/>
        <v>81110.789097098284</v>
      </c>
      <c r="J136" s="162">
        <f t="shared" si="18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12"/>
        <v/>
      </c>
      <c r="C137" s="157">
        <f>IF(D93="","-",+C136+1)</f>
        <v>2053</v>
      </c>
      <c r="D137" s="158">
        <f>IF(F136+SUM(E$99:E136)=D$92,F136,D$92-SUM(E$99:E136))</f>
        <v>331052</v>
      </c>
      <c r="E137" s="164">
        <f t="shared" si="13"/>
        <v>36783</v>
      </c>
      <c r="F137" s="163">
        <f t="shared" si="14"/>
        <v>294269</v>
      </c>
      <c r="G137" s="163">
        <f t="shared" si="15"/>
        <v>312660.5</v>
      </c>
      <c r="H137" s="167">
        <f t="shared" si="16"/>
        <v>76444.772798730846</v>
      </c>
      <c r="I137" s="317">
        <f t="shared" si="17"/>
        <v>76444.772798730846</v>
      </c>
      <c r="J137" s="162">
        <f t="shared" si="18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12"/>
        <v/>
      </c>
      <c r="C138" s="157">
        <f>IF(D93="","-",+C137+1)</f>
        <v>2054</v>
      </c>
      <c r="D138" s="158">
        <f>IF(F137+SUM(E$99:E137)=D$92,F137,D$92-SUM(E$99:E137))</f>
        <v>294269</v>
      </c>
      <c r="E138" s="164">
        <f t="shared" si="13"/>
        <v>36783</v>
      </c>
      <c r="F138" s="163">
        <f t="shared" si="14"/>
        <v>257486</v>
      </c>
      <c r="G138" s="163">
        <f t="shared" si="15"/>
        <v>275877.5</v>
      </c>
      <c r="H138" s="167">
        <f t="shared" si="16"/>
        <v>71778.756500363379</v>
      </c>
      <c r="I138" s="317">
        <f t="shared" si="17"/>
        <v>71778.756500363379</v>
      </c>
      <c r="J138" s="162">
        <f t="shared" si="18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12"/>
        <v/>
      </c>
      <c r="C139" s="157">
        <f>IF(D93="","-",+C138+1)</f>
        <v>2055</v>
      </c>
      <c r="D139" s="158">
        <f>IF(F138+SUM(E$99:E138)=D$92,F138,D$92-SUM(E$99:E138))</f>
        <v>257486</v>
      </c>
      <c r="E139" s="164">
        <f t="shared" si="13"/>
        <v>36783</v>
      </c>
      <c r="F139" s="163">
        <f t="shared" si="14"/>
        <v>220703</v>
      </c>
      <c r="G139" s="163">
        <f t="shared" si="15"/>
        <v>239094.5</v>
      </c>
      <c r="H139" s="167">
        <f t="shared" si="16"/>
        <v>67112.740201995941</v>
      </c>
      <c r="I139" s="317">
        <f t="shared" si="17"/>
        <v>67112.740201995941</v>
      </c>
      <c r="J139" s="162">
        <f t="shared" si="18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12"/>
        <v/>
      </c>
      <c r="C140" s="157">
        <f>IF(D93="","-",+C139+1)</f>
        <v>2056</v>
      </c>
      <c r="D140" s="158">
        <f>IF(F139+SUM(E$99:E139)=D$92,F139,D$92-SUM(E$99:E139))</f>
        <v>220703</v>
      </c>
      <c r="E140" s="164">
        <f t="shared" si="13"/>
        <v>36783</v>
      </c>
      <c r="F140" s="163">
        <f t="shared" si="14"/>
        <v>183920</v>
      </c>
      <c r="G140" s="163">
        <f t="shared" si="15"/>
        <v>202311.5</v>
      </c>
      <c r="H140" s="167">
        <f t="shared" si="16"/>
        <v>62446.723903628488</v>
      </c>
      <c r="I140" s="317">
        <f t="shared" si="17"/>
        <v>62446.723903628488</v>
      </c>
      <c r="J140" s="162">
        <f t="shared" si="18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12"/>
        <v/>
      </c>
      <c r="C141" s="157">
        <f>IF(D93="","-",+C140+1)</f>
        <v>2057</v>
      </c>
      <c r="D141" s="158">
        <f>IF(F140+SUM(E$99:E140)=D$92,F140,D$92-SUM(E$99:E140))</f>
        <v>183920</v>
      </c>
      <c r="E141" s="164">
        <f t="shared" si="13"/>
        <v>36783</v>
      </c>
      <c r="F141" s="163">
        <f t="shared" si="14"/>
        <v>147137</v>
      </c>
      <c r="G141" s="163">
        <f t="shared" si="15"/>
        <v>165528.5</v>
      </c>
      <c r="H141" s="167">
        <f t="shared" si="16"/>
        <v>57780.707605261035</v>
      </c>
      <c r="I141" s="317">
        <f t="shared" si="17"/>
        <v>57780.707605261035</v>
      </c>
      <c r="J141" s="162">
        <f t="shared" si="18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12"/>
        <v/>
      </c>
      <c r="C142" s="157">
        <f>IF(D93="","-",+C141+1)</f>
        <v>2058</v>
      </c>
      <c r="D142" s="158">
        <f>IF(F141+SUM(E$99:E141)=D$92,F141,D$92-SUM(E$99:E141))</f>
        <v>147137</v>
      </c>
      <c r="E142" s="164">
        <f t="shared" si="13"/>
        <v>36783</v>
      </c>
      <c r="F142" s="163">
        <f t="shared" si="14"/>
        <v>110354</v>
      </c>
      <c r="G142" s="163">
        <f t="shared" si="15"/>
        <v>128745.5</v>
      </c>
      <c r="H142" s="167">
        <f t="shared" si="16"/>
        <v>53114.691306893583</v>
      </c>
      <c r="I142" s="317">
        <f t="shared" si="17"/>
        <v>53114.691306893583</v>
      </c>
      <c r="J142" s="162">
        <f t="shared" si="18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12"/>
        <v/>
      </c>
      <c r="C143" s="157">
        <f>IF(D93="","-",+C142+1)</f>
        <v>2059</v>
      </c>
      <c r="D143" s="158">
        <f>IF(F142+SUM(E$99:E142)=D$92,F142,D$92-SUM(E$99:E142))</f>
        <v>110354</v>
      </c>
      <c r="E143" s="164">
        <f t="shared" si="13"/>
        <v>36783</v>
      </c>
      <c r="F143" s="163">
        <f t="shared" si="14"/>
        <v>73571</v>
      </c>
      <c r="G143" s="163">
        <f t="shared" si="15"/>
        <v>91962.5</v>
      </c>
      <c r="H143" s="167">
        <f t="shared" si="16"/>
        <v>48448.67500852613</v>
      </c>
      <c r="I143" s="317">
        <f t="shared" si="17"/>
        <v>48448.67500852613</v>
      </c>
      <c r="J143" s="162">
        <f t="shared" si="18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12"/>
        <v/>
      </c>
      <c r="C144" s="157">
        <f>IF(D93="","-",+C143+1)</f>
        <v>2060</v>
      </c>
      <c r="D144" s="158">
        <f>IF(F143+SUM(E$99:E143)=D$92,F143,D$92-SUM(E$99:E143))</f>
        <v>73571</v>
      </c>
      <c r="E144" s="164">
        <f t="shared" si="13"/>
        <v>36783</v>
      </c>
      <c r="F144" s="163">
        <f t="shared" si="14"/>
        <v>36788</v>
      </c>
      <c r="G144" s="163">
        <f t="shared" si="15"/>
        <v>55179.5</v>
      </c>
      <c r="H144" s="167">
        <f t="shared" si="16"/>
        <v>43782.658710158677</v>
      </c>
      <c r="I144" s="317">
        <f t="shared" si="17"/>
        <v>43782.658710158677</v>
      </c>
      <c r="J144" s="162">
        <f t="shared" si="18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12"/>
        <v/>
      </c>
      <c r="C145" s="157">
        <f>IF(D93="","-",+C144+1)</f>
        <v>2061</v>
      </c>
      <c r="D145" s="158">
        <f>IF(F144+SUM(E$99:E144)=D$92,F144,D$92-SUM(E$99:E144))</f>
        <v>36788</v>
      </c>
      <c r="E145" s="164">
        <f t="shared" si="13"/>
        <v>36783</v>
      </c>
      <c r="F145" s="163">
        <f t="shared" si="14"/>
        <v>5</v>
      </c>
      <c r="G145" s="163">
        <f t="shared" si="15"/>
        <v>18396.5</v>
      </c>
      <c r="H145" s="167">
        <f t="shared" si="16"/>
        <v>39116.642411791232</v>
      </c>
      <c r="I145" s="317">
        <f t="shared" si="17"/>
        <v>39116.642411791232</v>
      </c>
      <c r="J145" s="162">
        <f t="shared" si="18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12"/>
        <v/>
      </c>
      <c r="C146" s="157">
        <f>IF(D93="","-",+C145+1)</f>
        <v>2062</v>
      </c>
      <c r="D146" s="158">
        <f>IF(F145+SUM(E$99:E145)=D$92,F145,D$92-SUM(E$99:E145))</f>
        <v>5</v>
      </c>
      <c r="E146" s="164">
        <f t="shared" si="13"/>
        <v>5</v>
      </c>
      <c r="F146" s="163">
        <f t="shared" si="14"/>
        <v>0</v>
      </c>
      <c r="G146" s="163">
        <f t="shared" si="15"/>
        <v>2.5</v>
      </c>
      <c r="H146" s="167">
        <f t="shared" si="16"/>
        <v>5.3171313037522392</v>
      </c>
      <c r="I146" s="317">
        <f t="shared" si="17"/>
        <v>5.3171313037522392</v>
      </c>
      <c r="J146" s="162">
        <f t="shared" si="18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12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3"/>
        <v>0</v>
      </c>
      <c r="F147" s="163">
        <f t="shared" si="14"/>
        <v>0</v>
      </c>
      <c r="G147" s="163">
        <f t="shared" si="15"/>
        <v>0</v>
      </c>
      <c r="H147" s="167">
        <f t="shared" si="16"/>
        <v>0</v>
      </c>
      <c r="I147" s="317">
        <f t="shared" si="17"/>
        <v>0</v>
      </c>
      <c r="J147" s="162">
        <f t="shared" si="18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12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3"/>
        <v>0</v>
      </c>
      <c r="F148" s="163">
        <f t="shared" si="14"/>
        <v>0</v>
      </c>
      <c r="G148" s="163">
        <f t="shared" si="15"/>
        <v>0</v>
      </c>
      <c r="H148" s="167">
        <f t="shared" si="16"/>
        <v>0</v>
      </c>
      <c r="I148" s="317">
        <f t="shared" si="17"/>
        <v>0</v>
      </c>
      <c r="J148" s="162">
        <f t="shared" si="18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12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3"/>
        <v>0</v>
      </c>
      <c r="F149" s="163">
        <f t="shared" si="14"/>
        <v>0</v>
      </c>
      <c r="G149" s="163">
        <f t="shared" si="15"/>
        <v>0</v>
      </c>
      <c r="H149" s="167">
        <f t="shared" si="16"/>
        <v>0</v>
      </c>
      <c r="I149" s="317">
        <f t="shared" si="17"/>
        <v>0</v>
      </c>
      <c r="J149" s="162">
        <f t="shared" si="18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12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3"/>
        <v>0</v>
      </c>
      <c r="F150" s="163">
        <f t="shared" si="14"/>
        <v>0</v>
      </c>
      <c r="G150" s="163">
        <f t="shared" si="15"/>
        <v>0</v>
      </c>
      <c r="H150" s="167">
        <f t="shared" si="16"/>
        <v>0</v>
      </c>
      <c r="I150" s="317">
        <f t="shared" si="17"/>
        <v>0</v>
      </c>
      <c r="J150" s="162">
        <f t="shared" si="18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12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3"/>
        <v>0</v>
      </c>
      <c r="F151" s="163">
        <f t="shared" si="14"/>
        <v>0</v>
      </c>
      <c r="G151" s="163">
        <f t="shared" si="15"/>
        <v>0</v>
      </c>
      <c r="H151" s="167">
        <f t="shared" si="16"/>
        <v>0</v>
      </c>
      <c r="I151" s="317">
        <f t="shared" si="17"/>
        <v>0</v>
      </c>
      <c r="J151" s="162">
        <f t="shared" si="18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12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3"/>
        <v>0</v>
      </c>
      <c r="F152" s="163">
        <f t="shared" si="14"/>
        <v>0</v>
      </c>
      <c r="G152" s="163">
        <f t="shared" si="15"/>
        <v>0</v>
      </c>
      <c r="H152" s="167">
        <f t="shared" si="16"/>
        <v>0</v>
      </c>
      <c r="I152" s="317">
        <f t="shared" si="17"/>
        <v>0</v>
      </c>
      <c r="J152" s="162">
        <f t="shared" si="18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12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3"/>
        <v>0</v>
      </c>
      <c r="F153" s="163">
        <f t="shared" si="14"/>
        <v>0</v>
      </c>
      <c r="G153" s="163">
        <f t="shared" si="15"/>
        <v>0</v>
      </c>
      <c r="H153" s="167">
        <f t="shared" si="16"/>
        <v>0</v>
      </c>
      <c r="I153" s="317">
        <f t="shared" si="17"/>
        <v>0</v>
      </c>
      <c r="J153" s="162">
        <f t="shared" si="18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12"/>
        <v/>
      </c>
      <c r="C154" s="168">
        <f>IF(D93="","-",+C153+1)</f>
        <v>2070</v>
      </c>
      <c r="D154" s="388">
        <f>IF(F153+SUM(E$99:E153)=D$92,F153,D$92-SUM(E$99:E153))</f>
        <v>0</v>
      </c>
      <c r="E154" s="170">
        <f t="shared" si="13"/>
        <v>0</v>
      </c>
      <c r="F154" s="169">
        <f t="shared" si="14"/>
        <v>0</v>
      </c>
      <c r="G154" s="169">
        <f t="shared" si="15"/>
        <v>0</v>
      </c>
      <c r="H154" s="171">
        <f t="shared" si="16"/>
        <v>0</v>
      </c>
      <c r="I154" s="318">
        <f t="shared" si="17"/>
        <v>0</v>
      </c>
      <c r="J154" s="173">
        <f t="shared" si="18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1692023</v>
      </c>
      <c r="F155" s="115"/>
      <c r="G155" s="115"/>
      <c r="H155" s="115">
        <f>SUM(H99:H154)</f>
        <v>6743029.5590281375</v>
      </c>
      <c r="I155" s="115">
        <f>SUM(I99:I154)</f>
        <v>6743029.5590281375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zoomScale="80" zoomScaleNormal="100" zoomScaleSheetLayoutView="8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18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215061.09551654221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215061.09551654221</v>
      </c>
      <c r="O6" s="1"/>
      <c r="P6" s="1"/>
    </row>
    <row r="7" spans="1:16" ht="13.5" thickBot="1">
      <c r="C7" s="127" t="s">
        <v>41</v>
      </c>
      <c r="D7" s="426" t="s">
        <v>257</v>
      </c>
      <c r="E7" s="406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445" t="s">
        <v>260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264</v>
      </c>
      <c r="E9" s="428" t="s">
        <v>346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1725646.85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43141.171249999999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20">
        <v>1725646.85</v>
      </c>
      <c r="E17" s="446">
        <v>22123.677564102563</v>
      </c>
      <c r="F17" s="420">
        <v>1703523.1724358976</v>
      </c>
      <c r="G17" s="446">
        <v>256628.57821434946</v>
      </c>
      <c r="H17" s="425">
        <v>256628.57821434946</v>
      </c>
      <c r="I17" s="160">
        <v>0</v>
      </c>
      <c r="J17" s="160"/>
      <c r="K17" s="338">
        <f>G17</f>
        <v>256628.57821434946</v>
      </c>
      <c r="L17" s="440">
        <f>IF(K17&lt;&gt;0,+G17-K17,0)</f>
        <v>0</v>
      </c>
      <c r="M17" s="338">
        <f>H17</f>
        <v>256628.57821434946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20">
        <v>1703523.1724358976</v>
      </c>
      <c r="E18" s="421">
        <v>33185.516346153847</v>
      </c>
      <c r="F18" s="420">
        <v>1670337.6560897438</v>
      </c>
      <c r="G18" s="421">
        <v>263477.7363505594</v>
      </c>
      <c r="H18" s="425">
        <v>263477.7363505594</v>
      </c>
      <c r="I18" s="160">
        <v>0</v>
      </c>
      <c r="J18" s="160"/>
      <c r="K18" s="338">
        <f>G18</f>
        <v>263477.7363505594</v>
      </c>
      <c r="L18" s="440">
        <f>IF(K18&lt;&gt;0,+G18-K18,0)</f>
        <v>0</v>
      </c>
      <c r="M18" s="338">
        <f>H18</f>
        <v>263477.7363505594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2016</v>
      </c>
      <c r="D19" s="420">
        <v>1670337.6560897438</v>
      </c>
      <c r="E19" s="421">
        <v>33185.516346153847</v>
      </c>
      <c r="F19" s="420">
        <v>1637152.13974359</v>
      </c>
      <c r="G19" s="421">
        <v>247913.51634615386</v>
      </c>
      <c r="H19" s="425">
        <v>247913.51634615386</v>
      </c>
      <c r="I19" s="160">
        <f>H19-G19</f>
        <v>0</v>
      </c>
      <c r="J19" s="160"/>
      <c r="K19" s="338">
        <f>G19</f>
        <v>247913.51634615386</v>
      </c>
      <c r="L19" s="440">
        <f>IF(K19&lt;&gt;0,+G19-K19,0)</f>
        <v>0</v>
      </c>
      <c r="M19" s="338">
        <f>H19</f>
        <v>247913.51634615386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2017</v>
      </c>
      <c r="D20" s="420">
        <v>1637152.13974359</v>
      </c>
      <c r="E20" s="421">
        <v>37514.061956521742</v>
      </c>
      <c r="F20" s="420">
        <v>1599638.0777870682</v>
      </c>
      <c r="G20" s="421">
        <v>241085.06195652173</v>
      </c>
      <c r="H20" s="425">
        <v>241085.06195652173</v>
      </c>
      <c r="I20" s="160">
        <v>0</v>
      </c>
      <c r="J20" s="160"/>
      <c r="K20" s="338">
        <f>G20</f>
        <v>241085.06195652173</v>
      </c>
      <c r="L20" s="440">
        <f>IF(K20&lt;&gt;0,+G20-K20,0)</f>
        <v>0</v>
      </c>
      <c r="M20" s="338">
        <f>H20</f>
        <v>241085.06195652173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20">
        <v>1599638.0777870682</v>
      </c>
      <c r="E21" s="421">
        <v>38347.707777777781</v>
      </c>
      <c r="F21" s="420">
        <v>1561290.3700092905</v>
      </c>
      <c r="G21" s="421">
        <v>227622.42905835263</v>
      </c>
      <c r="H21" s="425">
        <v>227622.42905835263</v>
      </c>
      <c r="I21" s="160">
        <f t="shared" ref="I21:I72" si="1">H21-G21</f>
        <v>0</v>
      </c>
      <c r="J21" s="160"/>
      <c r="K21" s="338">
        <f>G21</f>
        <v>227622.42905835263</v>
      </c>
      <c r="L21" s="440">
        <f>IF(K21&lt;&gt;0,+G21-K21,0)</f>
        <v>0</v>
      </c>
      <c r="M21" s="338">
        <f>H21</f>
        <v>227622.42905835263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1561290.3700092905</v>
      </c>
      <c r="E22" s="164">
        <f t="shared" ref="E22:E72" si="2">IF(+$I$14&lt;F21,$I$14,D22)</f>
        <v>43141.171249999999</v>
      </c>
      <c r="F22" s="163">
        <f t="shared" ref="F22:F72" si="3">+D22-E22</f>
        <v>1518149.1987592906</v>
      </c>
      <c r="G22" s="165">
        <f t="shared" ref="G22:G72" si="4">(D22+F22)/2*I$12+E22</f>
        <v>215061.09551654221</v>
      </c>
      <c r="H22" s="147">
        <f t="shared" ref="H22:H72" si="5">+(D22+F22)/2*I$13+E22</f>
        <v>215061.09551654221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1518149.1987592906</v>
      </c>
      <c r="E23" s="164">
        <f t="shared" si="2"/>
        <v>43141.171249999999</v>
      </c>
      <c r="F23" s="163">
        <f t="shared" si="3"/>
        <v>1475008.0275092907</v>
      </c>
      <c r="G23" s="165">
        <f t="shared" si="4"/>
        <v>210244.09766453638</v>
      </c>
      <c r="H23" s="147">
        <f t="shared" si="5"/>
        <v>210244.09766453638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1475008.0275092907</v>
      </c>
      <c r="E24" s="164">
        <f t="shared" si="2"/>
        <v>43141.171249999999</v>
      </c>
      <c r="F24" s="163">
        <f t="shared" si="3"/>
        <v>1431866.8562592908</v>
      </c>
      <c r="G24" s="165">
        <f t="shared" si="4"/>
        <v>205427.09981253062</v>
      </c>
      <c r="H24" s="147">
        <f t="shared" si="5"/>
        <v>205427.09981253062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1431866.8562592908</v>
      </c>
      <c r="E25" s="164">
        <f t="shared" si="2"/>
        <v>43141.171249999999</v>
      </c>
      <c r="F25" s="163">
        <f t="shared" si="3"/>
        <v>1388725.6850092909</v>
      </c>
      <c r="G25" s="165">
        <f t="shared" si="4"/>
        <v>200610.10196052486</v>
      </c>
      <c r="H25" s="147">
        <f t="shared" si="5"/>
        <v>200610.10196052486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1388725.6850092909</v>
      </c>
      <c r="E26" s="164">
        <f t="shared" si="2"/>
        <v>43141.171249999999</v>
      </c>
      <c r="F26" s="163">
        <f t="shared" si="3"/>
        <v>1345584.513759291</v>
      </c>
      <c r="G26" s="165">
        <f t="shared" si="4"/>
        <v>195793.1041085191</v>
      </c>
      <c r="H26" s="147">
        <f t="shared" si="5"/>
        <v>195793.1041085191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1345584.513759291</v>
      </c>
      <c r="E27" s="164">
        <f t="shared" si="2"/>
        <v>43141.171249999999</v>
      </c>
      <c r="F27" s="163">
        <f t="shared" si="3"/>
        <v>1302443.3425092911</v>
      </c>
      <c r="G27" s="165">
        <f t="shared" si="4"/>
        <v>190976.10625651333</v>
      </c>
      <c r="H27" s="147">
        <f t="shared" si="5"/>
        <v>190976.10625651333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1302443.3425092911</v>
      </c>
      <c r="E28" s="164">
        <f t="shared" si="2"/>
        <v>43141.171249999999</v>
      </c>
      <c r="F28" s="163">
        <f t="shared" si="3"/>
        <v>1259302.1712592912</v>
      </c>
      <c r="G28" s="165">
        <f t="shared" si="4"/>
        <v>186159.10840450757</v>
      </c>
      <c r="H28" s="147">
        <f t="shared" si="5"/>
        <v>186159.10840450757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1259302.1712592912</v>
      </c>
      <c r="E29" s="164">
        <f t="shared" si="2"/>
        <v>43141.171249999999</v>
      </c>
      <c r="F29" s="163">
        <f t="shared" si="3"/>
        <v>1216161.0000092913</v>
      </c>
      <c r="G29" s="165">
        <f t="shared" si="4"/>
        <v>181342.11055250181</v>
      </c>
      <c r="H29" s="147">
        <f t="shared" si="5"/>
        <v>181342.11055250181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1216161.0000092913</v>
      </c>
      <c r="E30" s="164">
        <f t="shared" si="2"/>
        <v>43141.171249999999</v>
      </c>
      <c r="F30" s="163">
        <f t="shared" si="3"/>
        <v>1173019.8287592914</v>
      </c>
      <c r="G30" s="165">
        <f t="shared" si="4"/>
        <v>176525.11270049604</v>
      </c>
      <c r="H30" s="147">
        <f t="shared" si="5"/>
        <v>176525.11270049604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1173019.8287592914</v>
      </c>
      <c r="E31" s="164">
        <f t="shared" si="2"/>
        <v>43141.171249999999</v>
      </c>
      <c r="F31" s="163">
        <f t="shared" si="3"/>
        <v>1129878.6575092915</v>
      </c>
      <c r="G31" s="165">
        <f t="shared" si="4"/>
        <v>171708.11484849028</v>
      </c>
      <c r="H31" s="147">
        <f t="shared" si="5"/>
        <v>171708.11484849028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1129878.6575092915</v>
      </c>
      <c r="E32" s="164">
        <f t="shared" si="2"/>
        <v>43141.171249999999</v>
      </c>
      <c r="F32" s="163">
        <f t="shared" si="3"/>
        <v>1086737.4862592916</v>
      </c>
      <c r="G32" s="165">
        <f t="shared" si="4"/>
        <v>166891.11699648452</v>
      </c>
      <c r="H32" s="147">
        <f t="shared" si="5"/>
        <v>166891.11699648452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1086737.4862592916</v>
      </c>
      <c r="E33" s="164">
        <f t="shared" si="2"/>
        <v>43141.171249999999</v>
      </c>
      <c r="F33" s="163">
        <f t="shared" si="3"/>
        <v>1043596.3150092916</v>
      </c>
      <c r="G33" s="165">
        <f t="shared" si="4"/>
        <v>162074.11914447873</v>
      </c>
      <c r="H33" s="147">
        <f t="shared" si="5"/>
        <v>162074.11914447873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1043596.3150092916</v>
      </c>
      <c r="E34" s="164">
        <f t="shared" si="2"/>
        <v>43141.171249999999</v>
      </c>
      <c r="F34" s="163">
        <f t="shared" si="3"/>
        <v>1000455.1437592916</v>
      </c>
      <c r="G34" s="165">
        <f t="shared" si="4"/>
        <v>157257.12129247296</v>
      </c>
      <c r="H34" s="147">
        <f t="shared" si="5"/>
        <v>157257.12129247296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1000455.1437592916</v>
      </c>
      <c r="E35" s="164">
        <f t="shared" si="2"/>
        <v>43141.171249999999</v>
      </c>
      <c r="F35" s="163">
        <f t="shared" si="3"/>
        <v>957313.97250929161</v>
      </c>
      <c r="G35" s="165">
        <f t="shared" si="4"/>
        <v>152440.12344046717</v>
      </c>
      <c r="H35" s="147">
        <f t="shared" si="5"/>
        <v>152440.12344046717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957313.97250929161</v>
      </c>
      <c r="E36" s="164">
        <f t="shared" si="2"/>
        <v>43141.171249999999</v>
      </c>
      <c r="F36" s="163">
        <f t="shared" si="3"/>
        <v>914172.80125929159</v>
      </c>
      <c r="G36" s="165">
        <f t="shared" si="4"/>
        <v>147623.12558846141</v>
      </c>
      <c r="H36" s="147">
        <f t="shared" si="5"/>
        <v>147623.12558846141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914172.80125929159</v>
      </c>
      <c r="E37" s="164">
        <f t="shared" si="2"/>
        <v>43141.171249999999</v>
      </c>
      <c r="F37" s="163">
        <f t="shared" si="3"/>
        <v>871031.63000929158</v>
      </c>
      <c r="G37" s="165">
        <f t="shared" si="4"/>
        <v>142806.12773645562</v>
      </c>
      <c r="H37" s="147">
        <f t="shared" si="5"/>
        <v>142806.12773645562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871031.63000929158</v>
      </c>
      <c r="E38" s="164">
        <f t="shared" si="2"/>
        <v>43141.171249999999</v>
      </c>
      <c r="F38" s="163">
        <f t="shared" si="3"/>
        <v>827890.45875929156</v>
      </c>
      <c r="G38" s="165">
        <f t="shared" si="4"/>
        <v>137989.12988444985</v>
      </c>
      <c r="H38" s="147">
        <f t="shared" si="5"/>
        <v>137989.12988444985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827890.45875929156</v>
      </c>
      <c r="E39" s="164">
        <f t="shared" si="2"/>
        <v>43141.171249999999</v>
      </c>
      <c r="F39" s="163">
        <f t="shared" si="3"/>
        <v>784749.28750929155</v>
      </c>
      <c r="G39" s="165">
        <f t="shared" si="4"/>
        <v>133172.13203244406</v>
      </c>
      <c r="H39" s="147">
        <f t="shared" si="5"/>
        <v>133172.13203244406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784749.28750929155</v>
      </c>
      <c r="E40" s="164">
        <f t="shared" si="2"/>
        <v>43141.171249999999</v>
      </c>
      <c r="F40" s="163">
        <f t="shared" si="3"/>
        <v>741608.11625929154</v>
      </c>
      <c r="G40" s="165">
        <f t="shared" si="4"/>
        <v>128355.13418043828</v>
      </c>
      <c r="H40" s="147">
        <f t="shared" si="5"/>
        <v>128355.13418043828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741608.11625929154</v>
      </c>
      <c r="E41" s="164">
        <f t="shared" si="2"/>
        <v>43141.171249999999</v>
      </c>
      <c r="F41" s="163">
        <f t="shared" si="3"/>
        <v>698466.94500929152</v>
      </c>
      <c r="G41" s="165">
        <f t="shared" si="4"/>
        <v>123538.13632843249</v>
      </c>
      <c r="H41" s="147">
        <f t="shared" si="5"/>
        <v>123538.13632843249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698466.94500929152</v>
      </c>
      <c r="E42" s="164">
        <f t="shared" si="2"/>
        <v>43141.171249999999</v>
      </c>
      <c r="F42" s="163">
        <f t="shared" si="3"/>
        <v>655325.77375929151</v>
      </c>
      <c r="G42" s="165">
        <f t="shared" si="4"/>
        <v>118721.13847642673</v>
      </c>
      <c r="H42" s="147">
        <f t="shared" si="5"/>
        <v>118721.13847642673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655325.77375929151</v>
      </c>
      <c r="E43" s="164">
        <f t="shared" si="2"/>
        <v>43141.171249999999</v>
      </c>
      <c r="F43" s="163">
        <f t="shared" si="3"/>
        <v>612184.60250929149</v>
      </c>
      <c r="G43" s="165">
        <f t="shared" si="4"/>
        <v>113904.14062442094</v>
      </c>
      <c r="H43" s="147">
        <f t="shared" si="5"/>
        <v>113904.14062442094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612184.60250929149</v>
      </c>
      <c r="E44" s="164">
        <f t="shared" si="2"/>
        <v>43141.171249999999</v>
      </c>
      <c r="F44" s="163">
        <f t="shared" si="3"/>
        <v>569043.43125929148</v>
      </c>
      <c r="G44" s="165">
        <f t="shared" si="4"/>
        <v>109087.14277241517</v>
      </c>
      <c r="H44" s="147">
        <f t="shared" si="5"/>
        <v>109087.14277241517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569043.43125929148</v>
      </c>
      <c r="E45" s="164">
        <f t="shared" si="2"/>
        <v>43141.171249999999</v>
      </c>
      <c r="F45" s="163">
        <f t="shared" si="3"/>
        <v>525902.26000929147</v>
      </c>
      <c r="G45" s="165">
        <f t="shared" si="4"/>
        <v>104270.14492040938</v>
      </c>
      <c r="H45" s="147">
        <f t="shared" si="5"/>
        <v>104270.14492040938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525902.26000929147</v>
      </c>
      <c r="E46" s="164">
        <f t="shared" si="2"/>
        <v>43141.171249999999</v>
      </c>
      <c r="F46" s="163">
        <f t="shared" si="3"/>
        <v>482761.08875929145</v>
      </c>
      <c r="G46" s="165">
        <f t="shared" si="4"/>
        <v>99453.147068403603</v>
      </c>
      <c r="H46" s="147">
        <f t="shared" si="5"/>
        <v>99453.147068403603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482761.08875929145</v>
      </c>
      <c r="E47" s="164">
        <f t="shared" si="2"/>
        <v>43141.171249999999</v>
      </c>
      <c r="F47" s="163">
        <f t="shared" si="3"/>
        <v>439619.91750929144</v>
      </c>
      <c r="G47" s="165">
        <f t="shared" si="4"/>
        <v>94636.14921639784</v>
      </c>
      <c r="H47" s="147">
        <f t="shared" si="5"/>
        <v>94636.14921639784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439619.91750929144</v>
      </c>
      <c r="E48" s="164">
        <f t="shared" si="2"/>
        <v>43141.171249999999</v>
      </c>
      <c r="F48" s="163">
        <f t="shared" si="3"/>
        <v>396478.74625929142</v>
      </c>
      <c r="G48" s="165">
        <f t="shared" si="4"/>
        <v>89819.151364392048</v>
      </c>
      <c r="H48" s="147">
        <f t="shared" si="5"/>
        <v>89819.151364392048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396478.74625929142</v>
      </c>
      <c r="E49" s="164">
        <f t="shared" si="2"/>
        <v>43141.171249999999</v>
      </c>
      <c r="F49" s="163">
        <f t="shared" si="3"/>
        <v>353337.57500929141</v>
      </c>
      <c r="G49" s="165">
        <f t="shared" si="4"/>
        <v>85002.15351238627</v>
      </c>
      <c r="H49" s="147">
        <f t="shared" si="5"/>
        <v>85002.15351238627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353337.57500929141</v>
      </c>
      <c r="E50" s="164">
        <f t="shared" si="2"/>
        <v>43141.171249999999</v>
      </c>
      <c r="F50" s="163">
        <f t="shared" si="3"/>
        <v>310196.4037592914</v>
      </c>
      <c r="G50" s="165">
        <f t="shared" si="4"/>
        <v>80185.155660380493</v>
      </c>
      <c r="H50" s="147">
        <f t="shared" si="5"/>
        <v>80185.155660380493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310196.4037592914</v>
      </c>
      <c r="E51" s="164">
        <f t="shared" si="2"/>
        <v>43141.171249999999</v>
      </c>
      <c r="F51" s="163">
        <f t="shared" si="3"/>
        <v>267055.23250929138</v>
      </c>
      <c r="G51" s="165">
        <f t="shared" si="4"/>
        <v>75368.157808374715</v>
      </c>
      <c r="H51" s="147">
        <f t="shared" si="5"/>
        <v>75368.157808374715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267055.23250929138</v>
      </c>
      <c r="E52" s="164">
        <f t="shared" si="2"/>
        <v>43141.171249999999</v>
      </c>
      <c r="F52" s="163">
        <f t="shared" si="3"/>
        <v>223914.06125929137</v>
      </c>
      <c r="G52" s="165">
        <f t="shared" si="4"/>
        <v>70551.159956368938</v>
      </c>
      <c r="H52" s="147">
        <f t="shared" si="5"/>
        <v>70551.159956368938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223914.06125929137</v>
      </c>
      <c r="E53" s="164">
        <f t="shared" si="2"/>
        <v>43141.171249999999</v>
      </c>
      <c r="F53" s="163">
        <f t="shared" si="3"/>
        <v>180772.89000929135</v>
      </c>
      <c r="G53" s="165">
        <f t="shared" si="4"/>
        <v>65734.16210436316</v>
      </c>
      <c r="H53" s="147">
        <f t="shared" si="5"/>
        <v>65734.16210436316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180772.89000929135</v>
      </c>
      <c r="E54" s="164">
        <f t="shared" si="2"/>
        <v>43141.171249999999</v>
      </c>
      <c r="F54" s="163">
        <f t="shared" si="3"/>
        <v>137631.71875929134</v>
      </c>
      <c r="G54" s="165">
        <f t="shared" si="4"/>
        <v>60917.164252357383</v>
      </c>
      <c r="H54" s="147">
        <f t="shared" si="5"/>
        <v>60917.164252357383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137631.71875929134</v>
      </c>
      <c r="E55" s="164">
        <f t="shared" si="2"/>
        <v>43141.171249999999</v>
      </c>
      <c r="F55" s="163">
        <f t="shared" si="3"/>
        <v>94490.54750929134</v>
      </c>
      <c r="G55" s="165">
        <f t="shared" si="4"/>
        <v>56100.166400351598</v>
      </c>
      <c r="H55" s="147">
        <f t="shared" si="5"/>
        <v>56100.166400351598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94490.54750929134</v>
      </c>
      <c r="E56" s="164">
        <f t="shared" si="2"/>
        <v>43141.171249999999</v>
      </c>
      <c r="F56" s="163">
        <f t="shared" si="3"/>
        <v>51349.376259291341</v>
      </c>
      <c r="G56" s="165">
        <f t="shared" si="4"/>
        <v>51283.168548345828</v>
      </c>
      <c r="H56" s="147">
        <f t="shared" si="5"/>
        <v>51283.168548345828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51349.376259291341</v>
      </c>
      <c r="E57" s="164">
        <f t="shared" si="2"/>
        <v>43141.171249999999</v>
      </c>
      <c r="F57" s="163">
        <f t="shared" si="3"/>
        <v>8208.2050092913414</v>
      </c>
      <c r="G57" s="165">
        <f t="shared" si="4"/>
        <v>46466.170696340043</v>
      </c>
      <c r="H57" s="147">
        <f t="shared" si="5"/>
        <v>46466.170696340043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8208.2050092913414</v>
      </c>
      <c r="E58" s="164">
        <f t="shared" si="2"/>
        <v>8208.2050092913414</v>
      </c>
      <c r="F58" s="163">
        <f t="shared" si="3"/>
        <v>0</v>
      </c>
      <c r="G58" s="165">
        <f t="shared" si="4"/>
        <v>8666.4552694599206</v>
      </c>
      <c r="H58" s="147">
        <f t="shared" si="5"/>
        <v>8666.4552694599206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0</v>
      </c>
      <c r="E59" s="164">
        <f t="shared" si="2"/>
        <v>0</v>
      </c>
      <c r="F59" s="163">
        <f t="shared" si="3"/>
        <v>0</v>
      </c>
      <c r="G59" s="165">
        <f t="shared" si="4"/>
        <v>0</v>
      </c>
      <c r="H59" s="147">
        <f t="shared" si="5"/>
        <v>0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2"/>
        <v>0</v>
      </c>
      <c r="F60" s="163">
        <f t="shared" si="3"/>
        <v>0</v>
      </c>
      <c r="G60" s="165">
        <f t="shared" si="4"/>
        <v>0</v>
      </c>
      <c r="H60" s="147">
        <f t="shared" si="5"/>
        <v>0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2"/>
        <v>0</v>
      </c>
      <c r="F61" s="163">
        <f t="shared" si="3"/>
        <v>0</v>
      </c>
      <c r="G61" s="165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2"/>
        <v>0</v>
      </c>
      <c r="F62" s="163">
        <f t="shared" si="3"/>
        <v>0</v>
      </c>
      <c r="G62" s="165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169">
        <f t="shared" si="4"/>
        <v>0</v>
      </c>
      <c r="H72" s="169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1725646.8499999999</v>
      </c>
      <c r="F73" s="115"/>
      <c r="G73" s="115">
        <f>SUM(G17:G72)</f>
        <v>5952884.5690272786</v>
      </c>
      <c r="H73" s="115">
        <f>SUM(H17:H72)</f>
        <v>5952884.5690272786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18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241085.06195652173</v>
      </c>
      <c r="N87" s="202">
        <f>IF(J92&lt;D11,0,VLOOKUP(J92,C17:O72,11))</f>
        <v>241085.06195652173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245122.86632871011</v>
      </c>
      <c r="N88" s="204">
        <f>IF(J92&lt;D11,0,VLOOKUP(J92,C99:P154,7))</f>
        <v>245122.86632871011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Darlington-Red Rock 138 kV line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4037.8043721883732</v>
      </c>
      <c r="N89" s="207">
        <f>+N88-N87</f>
        <v>4037.8043721883732</v>
      </c>
      <c r="O89" s="208">
        <f>+O88-O87</f>
        <v>0</v>
      </c>
      <c r="P89" s="1"/>
    </row>
    <row r="90" spans="1:16" ht="13.5" thickBot="1">
      <c r="C90" s="174"/>
      <c r="D90" s="447" t="s">
        <v>265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TP2012112</v>
      </c>
      <c r="E91" s="210" t="str">
        <f>E9</f>
        <v xml:space="preserve">  SPP Project ID = 30746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451">
        <v>1725647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2014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37514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2014</v>
      </c>
      <c r="D99" s="436"/>
      <c r="E99" s="437"/>
      <c r="F99" s="438"/>
      <c r="G99" s="448"/>
      <c r="H99" s="449"/>
      <c r="I99" s="450"/>
      <c r="J99" s="162">
        <v>0</v>
      </c>
      <c r="K99" s="162"/>
      <c r="L99" s="338">
        <f>H99</f>
        <v>0</v>
      </c>
      <c r="M99" s="175">
        <f>IF(L99&lt;&gt;0,+H99-L99,0)</f>
        <v>0</v>
      </c>
      <c r="N99" s="338">
        <f>I99</f>
        <v>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2015</v>
      </c>
      <c r="D100" s="420">
        <v>1703523.1724358976</v>
      </c>
      <c r="E100" s="421">
        <v>32760</v>
      </c>
      <c r="F100" s="420">
        <v>1670763.1724358976</v>
      </c>
      <c r="G100" s="421">
        <v>1687143.1724358976</v>
      </c>
      <c r="H100" s="425">
        <v>262957.1205792831</v>
      </c>
      <c r="I100" s="420">
        <v>262957.1205792831</v>
      </c>
      <c r="J100" s="162">
        <f>+I100-H100</f>
        <v>0</v>
      </c>
      <c r="K100" s="162"/>
      <c r="L100" s="338">
        <f>H100</f>
        <v>262957.1205792831</v>
      </c>
      <c r="M100" s="175">
        <f>IF(L100&lt;&gt;0,+H100-L100,0)</f>
        <v>0</v>
      </c>
      <c r="N100" s="338">
        <f>I100</f>
        <v>262957.1205792831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>IU</v>
      </c>
      <c r="C101" s="157">
        <f>IF(D93="","-",+C100+1)</f>
        <v>2016</v>
      </c>
      <c r="D101" s="420">
        <v>1692887</v>
      </c>
      <c r="E101" s="421">
        <v>37514</v>
      </c>
      <c r="F101" s="420">
        <v>1655373</v>
      </c>
      <c r="G101" s="421">
        <v>1674130</v>
      </c>
      <c r="H101" s="425">
        <v>253335.72266301585</v>
      </c>
      <c r="I101" s="420">
        <v>253335.72266301585</v>
      </c>
      <c r="J101" s="162">
        <v>0</v>
      </c>
      <c r="K101" s="162"/>
      <c r="L101" s="338">
        <f>H101</f>
        <v>253335.72266301585</v>
      </c>
      <c r="M101" s="175">
        <f>IF(L101&lt;&gt;0,+H101-L101,0)</f>
        <v>0</v>
      </c>
      <c r="N101" s="338">
        <f>I101</f>
        <v>253335.72266301585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158">
        <f>IF(F101+SUM(E$99:E101)=D$92,F101,D$92-SUM(E$99:E101))</f>
        <v>1655373</v>
      </c>
      <c r="E102" s="164">
        <f t="shared" ref="E102:E154" si="10">IF(+J$96&lt;F101,J$96,D102)</f>
        <v>37514</v>
      </c>
      <c r="F102" s="163">
        <f t="shared" ref="F102:F154" si="11">+D102-E102</f>
        <v>1617859</v>
      </c>
      <c r="G102" s="163">
        <f t="shared" ref="G102:G154" si="12">+(F102+D102)/2</f>
        <v>1636616</v>
      </c>
      <c r="H102" s="167">
        <f>+J$94*G102+E102</f>
        <v>245122.86632871011</v>
      </c>
      <c r="I102" s="317">
        <f t="shared" ref="I102:I154" si="13">+J$95*G102+E102</f>
        <v>245122.86632871011</v>
      </c>
      <c r="J102" s="162">
        <f t="shared" ref="J102:J154" si="14">+I102-H102</f>
        <v>0</v>
      </c>
      <c r="K102" s="162"/>
      <c r="L102" s="335"/>
      <c r="M102" s="162">
        <f t="shared" ref="M102:M130" si="15">IF(L102&lt;&gt;0,+H102-L102,0)</f>
        <v>0</v>
      </c>
      <c r="N102" s="335"/>
      <c r="O102" s="162">
        <f t="shared" ref="O102:O130" si="16">IF(N102&lt;&gt;0,+I102-N102,0)</f>
        <v>0</v>
      </c>
      <c r="P102" s="162">
        <f t="shared" ref="P102:P130" si="17"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1617859</v>
      </c>
      <c r="E103" s="164">
        <f t="shared" si="10"/>
        <v>37514</v>
      </c>
      <c r="F103" s="163">
        <f t="shared" si="11"/>
        <v>1580345</v>
      </c>
      <c r="G103" s="163">
        <f t="shared" si="12"/>
        <v>1599102</v>
      </c>
      <c r="H103" s="167">
        <f t="shared" ref="H103:H154" si="18">+J$94*G103+E103</f>
        <v>240364.12083712552</v>
      </c>
      <c r="I103" s="317">
        <f t="shared" si="13"/>
        <v>240364.12083712552</v>
      </c>
      <c r="J103" s="162">
        <f t="shared" si="14"/>
        <v>0</v>
      </c>
      <c r="K103" s="162"/>
      <c r="L103" s="335"/>
      <c r="M103" s="162">
        <f t="shared" si="15"/>
        <v>0</v>
      </c>
      <c r="N103" s="335"/>
      <c r="O103" s="162">
        <f t="shared" si="16"/>
        <v>0</v>
      </c>
      <c r="P103" s="162">
        <f t="shared" si="17"/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1580345</v>
      </c>
      <c r="E104" s="164">
        <f t="shared" si="10"/>
        <v>37514</v>
      </c>
      <c r="F104" s="163">
        <f t="shared" si="11"/>
        <v>1542831</v>
      </c>
      <c r="G104" s="163">
        <f t="shared" si="12"/>
        <v>1561588</v>
      </c>
      <c r="H104" s="167">
        <f t="shared" si="18"/>
        <v>235605.3753455409</v>
      </c>
      <c r="I104" s="317">
        <f t="shared" si="13"/>
        <v>235605.3753455409</v>
      </c>
      <c r="J104" s="162">
        <f t="shared" si="14"/>
        <v>0</v>
      </c>
      <c r="K104" s="162"/>
      <c r="L104" s="335"/>
      <c r="M104" s="162">
        <f t="shared" si="15"/>
        <v>0</v>
      </c>
      <c r="N104" s="335"/>
      <c r="O104" s="162">
        <f t="shared" si="16"/>
        <v>0</v>
      </c>
      <c r="P104" s="162">
        <f t="shared" si="17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1542831</v>
      </c>
      <c r="E105" s="164">
        <f t="shared" si="10"/>
        <v>37514</v>
      </c>
      <c r="F105" s="163">
        <f t="shared" si="11"/>
        <v>1505317</v>
      </c>
      <c r="G105" s="163">
        <f t="shared" si="12"/>
        <v>1524074</v>
      </c>
      <c r="H105" s="167">
        <f t="shared" si="18"/>
        <v>230846.62985395628</v>
      </c>
      <c r="I105" s="317">
        <f t="shared" si="13"/>
        <v>230846.62985395628</v>
      </c>
      <c r="J105" s="162">
        <f t="shared" si="14"/>
        <v>0</v>
      </c>
      <c r="K105" s="162"/>
      <c r="L105" s="335"/>
      <c r="M105" s="162">
        <f t="shared" si="15"/>
        <v>0</v>
      </c>
      <c r="N105" s="335"/>
      <c r="O105" s="162">
        <f t="shared" si="16"/>
        <v>0</v>
      </c>
      <c r="P105" s="162">
        <f t="shared" si="17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1505317</v>
      </c>
      <c r="E106" s="164">
        <f t="shared" si="10"/>
        <v>37514</v>
      </c>
      <c r="F106" s="163">
        <f t="shared" si="11"/>
        <v>1467803</v>
      </c>
      <c r="G106" s="163">
        <f t="shared" si="12"/>
        <v>1486560</v>
      </c>
      <c r="H106" s="167">
        <f t="shared" si="18"/>
        <v>226087.8843623717</v>
      </c>
      <c r="I106" s="317">
        <f t="shared" si="13"/>
        <v>226087.8843623717</v>
      </c>
      <c r="J106" s="162">
        <f t="shared" si="14"/>
        <v>0</v>
      </c>
      <c r="K106" s="162"/>
      <c r="L106" s="335"/>
      <c r="M106" s="162">
        <f t="shared" si="15"/>
        <v>0</v>
      </c>
      <c r="N106" s="335"/>
      <c r="O106" s="162">
        <f t="shared" si="16"/>
        <v>0</v>
      </c>
      <c r="P106" s="162">
        <f t="shared" si="17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1467803</v>
      </c>
      <c r="E107" s="164">
        <f t="shared" si="10"/>
        <v>37514</v>
      </c>
      <c r="F107" s="163">
        <f t="shared" si="11"/>
        <v>1430289</v>
      </c>
      <c r="G107" s="163">
        <f t="shared" si="12"/>
        <v>1449046</v>
      </c>
      <c r="H107" s="167">
        <f t="shared" si="18"/>
        <v>221329.13887078708</v>
      </c>
      <c r="I107" s="317">
        <f t="shared" si="13"/>
        <v>221329.13887078708</v>
      </c>
      <c r="J107" s="162">
        <f t="shared" si="14"/>
        <v>0</v>
      </c>
      <c r="K107" s="162"/>
      <c r="L107" s="335"/>
      <c r="M107" s="162">
        <f t="shared" si="15"/>
        <v>0</v>
      </c>
      <c r="N107" s="335"/>
      <c r="O107" s="162">
        <f t="shared" si="16"/>
        <v>0</v>
      </c>
      <c r="P107" s="162">
        <f t="shared" si="17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1430289</v>
      </c>
      <c r="E108" s="164">
        <f t="shared" si="10"/>
        <v>37514</v>
      </c>
      <c r="F108" s="163">
        <f t="shared" si="11"/>
        <v>1392775</v>
      </c>
      <c r="G108" s="163">
        <f t="shared" si="12"/>
        <v>1411532</v>
      </c>
      <c r="H108" s="167">
        <f t="shared" si="18"/>
        <v>216570.39337920249</v>
      </c>
      <c r="I108" s="317">
        <f t="shared" si="13"/>
        <v>216570.39337920249</v>
      </c>
      <c r="J108" s="162">
        <f t="shared" si="14"/>
        <v>0</v>
      </c>
      <c r="K108" s="162"/>
      <c r="L108" s="335"/>
      <c r="M108" s="162">
        <f t="shared" si="15"/>
        <v>0</v>
      </c>
      <c r="N108" s="335"/>
      <c r="O108" s="162">
        <f t="shared" si="16"/>
        <v>0</v>
      </c>
      <c r="P108" s="162">
        <f t="shared" si="17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1392775</v>
      </c>
      <c r="E109" s="164">
        <f t="shared" si="10"/>
        <v>37514</v>
      </c>
      <c r="F109" s="163">
        <f t="shared" si="11"/>
        <v>1355261</v>
      </c>
      <c r="G109" s="163">
        <f t="shared" si="12"/>
        <v>1374018</v>
      </c>
      <c r="H109" s="167">
        <f t="shared" si="18"/>
        <v>211811.64788761787</v>
      </c>
      <c r="I109" s="317">
        <f t="shared" si="13"/>
        <v>211811.64788761787</v>
      </c>
      <c r="J109" s="162">
        <f t="shared" si="14"/>
        <v>0</v>
      </c>
      <c r="K109" s="162"/>
      <c r="L109" s="335"/>
      <c r="M109" s="162">
        <f t="shared" si="15"/>
        <v>0</v>
      </c>
      <c r="N109" s="335"/>
      <c r="O109" s="162">
        <f t="shared" si="16"/>
        <v>0</v>
      </c>
      <c r="P109" s="162">
        <f t="shared" si="17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1355261</v>
      </c>
      <c r="E110" s="164">
        <f t="shared" si="10"/>
        <v>37514</v>
      </c>
      <c r="F110" s="163">
        <f t="shared" si="11"/>
        <v>1317747</v>
      </c>
      <c r="G110" s="163">
        <f t="shared" si="12"/>
        <v>1336504</v>
      </c>
      <c r="H110" s="167">
        <f t="shared" si="18"/>
        <v>207052.90239603326</v>
      </c>
      <c r="I110" s="317">
        <f t="shared" si="13"/>
        <v>207052.90239603326</v>
      </c>
      <c r="J110" s="162">
        <f t="shared" si="14"/>
        <v>0</v>
      </c>
      <c r="K110" s="162"/>
      <c r="L110" s="335"/>
      <c r="M110" s="162">
        <f t="shared" si="15"/>
        <v>0</v>
      </c>
      <c r="N110" s="335"/>
      <c r="O110" s="162">
        <f t="shared" si="16"/>
        <v>0</v>
      </c>
      <c r="P110" s="162">
        <f t="shared" si="17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1317747</v>
      </c>
      <c r="E111" s="164">
        <f t="shared" si="10"/>
        <v>37514</v>
      </c>
      <c r="F111" s="163">
        <f t="shared" si="11"/>
        <v>1280233</v>
      </c>
      <c r="G111" s="163">
        <f t="shared" si="12"/>
        <v>1298990</v>
      </c>
      <c r="H111" s="167">
        <f t="shared" si="18"/>
        <v>202294.15690444867</v>
      </c>
      <c r="I111" s="317">
        <f t="shared" si="13"/>
        <v>202294.15690444867</v>
      </c>
      <c r="J111" s="162">
        <f t="shared" si="14"/>
        <v>0</v>
      </c>
      <c r="K111" s="162"/>
      <c r="L111" s="335"/>
      <c r="M111" s="162">
        <f t="shared" si="15"/>
        <v>0</v>
      </c>
      <c r="N111" s="335"/>
      <c r="O111" s="162">
        <f t="shared" si="16"/>
        <v>0</v>
      </c>
      <c r="P111" s="162">
        <f t="shared" si="17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1280233</v>
      </c>
      <c r="E112" s="164">
        <f t="shared" si="10"/>
        <v>37514</v>
      </c>
      <c r="F112" s="163">
        <f t="shared" si="11"/>
        <v>1242719</v>
      </c>
      <c r="G112" s="163">
        <f t="shared" si="12"/>
        <v>1261476</v>
      </c>
      <c r="H112" s="167">
        <f t="shared" si="18"/>
        <v>197535.41141286405</v>
      </c>
      <c r="I112" s="317">
        <f t="shared" si="13"/>
        <v>197535.41141286405</v>
      </c>
      <c r="J112" s="162">
        <f t="shared" si="14"/>
        <v>0</v>
      </c>
      <c r="K112" s="162"/>
      <c r="L112" s="335"/>
      <c r="M112" s="162">
        <f t="shared" si="15"/>
        <v>0</v>
      </c>
      <c r="N112" s="335"/>
      <c r="O112" s="162">
        <f t="shared" si="16"/>
        <v>0</v>
      </c>
      <c r="P112" s="162">
        <f t="shared" si="17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1242719</v>
      </c>
      <c r="E113" s="164">
        <f t="shared" si="10"/>
        <v>37514</v>
      </c>
      <c r="F113" s="163">
        <f t="shared" si="11"/>
        <v>1205205</v>
      </c>
      <c r="G113" s="163">
        <f t="shared" si="12"/>
        <v>1223962</v>
      </c>
      <c r="H113" s="167">
        <f t="shared" si="18"/>
        <v>192776.66592127946</v>
      </c>
      <c r="I113" s="317">
        <f t="shared" si="13"/>
        <v>192776.66592127946</v>
      </c>
      <c r="J113" s="162">
        <f t="shared" si="14"/>
        <v>0</v>
      </c>
      <c r="K113" s="162"/>
      <c r="L113" s="335"/>
      <c r="M113" s="162">
        <f t="shared" si="15"/>
        <v>0</v>
      </c>
      <c r="N113" s="335"/>
      <c r="O113" s="162">
        <f t="shared" si="16"/>
        <v>0</v>
      </c>
      <c r="P113" s="162">
        <f t="shared" si="17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1205205</v>
      </c>
      <c r="E114" s="164">
        <f t="shared" si="10"/>
        <v>37514</v>
      </c>
      <c r="F114" s="163">
        <f t="shared" si="11"/>
        <v>1167691</v>
      </c>
      <c r="G114" s="163">
        <f t="shared" si="12"/>
        <v>1186448</v>
      </c>
      <c r="H114" s="167">
        <f t="shared" si="18"/>
        <v>188017.92042969484</v>
      </c>
      <c r="I114" s="317">
        <f t="shared" si="13"/>
        <v>188017.92042969484</v>
      </c>
      <c r="J114" s="162">
        <f t="shared" si="14"/>
        <v>0</v>
      </c>
      <c r="K114" s="162"/>
      <c r="L114" s="335"/>
      <c r="M114" s="162">
        <f t="shared" si="15"/>
        <v>0</v>
      </c>
      <c r="N114" s="335"/>
      <c r="O114" s="162">
        <f t="shared" si="16"/>
        <v>0</v>
      </c>
      <c r="P114" s="162">
        <f t="shared" si="17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1167691</v>
      </c>
      <c r="E115" s="164">
        <f t="shared" si="10"/>
        <v>37514</v>
      </c>
      <c r="F115" s="163">
        <f t="shared" si="11"/>
        <v>1130177</v>
      </c>
      <c r="G115" s="163">
        <f t="shared" si="12"/>
        <v>1148934</v>
      </c>
      <c r="H115" s="167">
        <f t="shared" si="18"/>
        <v>183259.17493811023</v>
      </c>
      <c r="I115" s="317">
        <f t="shared" si="13"/>
        <v>183259.17493811023</v>
      </c>
      <c r="J115" s="162">
        <f t="shared" si="14"/>
        <v>0</v>
      </c>
      <c r="K115" s="162"/>
      <c r="L115" s="335"/>
      <c r="M115" s="162">
        <f t="shared" si="15"/>
        <v>0</v>
      </c>
      <c r="N115" s="335"/>
      <c r="O115" s="162">
        <f t="shared" si="16"/>
        <v>0</v>
      </c>
      <c r="P115" s="162">
        <f t="shared" si="17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1130177</v>
      </c>
      <c r="E116" s="164">
        <f t="shared" si="10"/>
        <v>37514</v>
      </c>
      <c r="F116" s="163">
        <f t="shared" si="11"/>
        <v>1092663</v>
      </c>
      <c r="G116" s="163">
        <f t="shared" si="12"/>
        <v>1111420</v>
      </c>
      <c r="H116" s="167">
        <f t="shared" si="18"/>
        <v>178500.42944652564</v>
      </c>
      <c r="I116" s="317">
        <f t="shared" si="13"/>
        <v>178500.42944652564</v>
      </c>
      <c r="J116" s="162">
        <f t="shared" si="14"/>
        <v>0</v>
      </c>
      <c r="K116" s="162"/>
      <c r="L116" s="335"/>
      <c r="M116" s="162">
        <f t="shared" si="15"/>
        <v>0</v>
      </c>
      <c r="N116" s="335"/>
      <c r="O116" s="162">
        <f t="shared" si="16"/>
        <v>0</v>
      </c>
      <c r="P116" s="162">
        <f t="shared" si="17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1092663</v>
      </c>
      <c r="E117" s="164">
        <f t="shared" si="10"/>
        <v>37514</v>
      </c>
      <c r="F117" s="163">
        <f t="shared" si="11"/>
        <v>1055149</v>
      </c>
      <c r="G117" s="163">
        <f t="shared" si="12"/>
        <v>1073906</v>
      </c>
      <c r="H117" s="167">
        <f t="shared" si="18"/>
        <v>173741.68395494102</v>
      </c>
      <c r="I117" s="317">
        <f t="shared" si="13"/>
        <v>173741.68395494102</v>
      </c>
      <c r="J117" s="162">
        <f t="shared" si="14"/>
        <v>0</v>
      </c>
      <c r="K117" s="162"/>
      <c r="L117" s="335"/>
      <c r="M117" s="162">
        <f t="shared" si="15"/>
        <v>0</v>
      </c>
      <c r="N117" s="335"/>
      <c r="O117" s="162">
        <f t="shared" si="16"/>
        <v>0</v>
      </c>
      <c r="P117" s="162">
        <f t="shared" si="17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1055149</v>
      </c>
      <c r="E118" s="164">
        <f t="shared" si="10"/>
        <v>37514</v>
      </c>
      <c r="F118" s="163">
        <f t="shared" si="11"/>
        <v>1017635</v>
      </c>
      <c r="G118" s="163">
        <f t="shared" si="12"/>
        <v>1036392</v>
      </c>
      <c r="H118" s="167">
        <f t="shared" si="18"/>
        <v>168982.93846335643</v>
      </c>
      <c r="I118" s="317">
        <f t="shared" si="13"/>
        <v>168982.93846335643</v>
      </c>
      <c r="J118" s="162">
        <f t="shared" si="14"/>
        <v>0</v>
      </c>
      <c r="K118" s="162"/>
      <c r="L118" s="335"/>
      <c r="M118" s="162">
        <f t="shared" si="15"/>
        <v>0</v>
      </c>
      <c r="N118" s="335"/>
      <c r="O118" s="162">
        <f t="shared" si="16"/>
        <v>0</v>
      </c>
      <c r="P118" s="162">
        <f t="shared" si="17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1017635</v>
      </c>
      <c r="E119" s="164">
        <f t="shared" si="10"/>
        <v>37514</v>
      </c>
      <c r="F119" s="163">
        <f t="shared" si="11"/>
        <v>980121</v>
      </c>
      <c r="G119" s="163">
        <f t="shared" si="12"/>
        <v>998878</v>
      </c>
      <c r="H119" s="167">
        <f t="shared" si="18"/>
        <v>164224.19297177182</v>
      </c>
      <c r="I119" s="317">
        <f t="shared" si="13"/>
        <v>164224.19297177182</v>
      </c>
      <c r="J119" s="162">
        <f t="shared" si="14"/>
        <v>0</v>
      </c>
      <c r="K119" s="162"/>
      <c r="L119" s="335"/>
      <c r="M119" s="162">
        <f t="shared" si="15"/>
        <v>0</v>
      </c>
      <c r="N119" s="335"/>
      <c r="O119" s="162">
        <f t="shared" si="16"/>
        <v>0</v>
      </c>
      <c r="P119" s="162">
        <f t="shared" si="17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980121</v>
      </c>
      <c r="E120" s="164">
        <f t="shared" si="10"/>
        <v>37514</v>
      </c>
      <c r="F120" s="163">
        <f t="shared" si="11"/>
        <v>942607</v>
      </c>
      <c r="G120" s="163">
        <f t="shared" si="12"/>
        <v>961364</v>
      </c>
      <c r="H120" s="167">
        <f t="shared" si="18"/>
        <v>159465.44748018723</v>
      </c>
      <c r="I120" s="317">
        <f t="shared" si="13"/>
        <v>159465.44748018723</v>
      </c>
      <c r="J120" s="162">
        <f t="shared" si="14"/>
        <v>0</v>
      </c>
      <c r="K120" s="162"/>
      <c r="L120" s="335"/>
      <c r="M120" s="162">
        <f t="shared" si="15"/>
        <v>0</v>
      </c>
      <c r="N120" s="335"/>
      <c r="O120" s="162">
        <f t="shared" si="16"/>
        <v>0</v>
      </c>
      <c r="P120" s="162">
        <f t="shared" si="17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942607</v>
      </c>
      <c r="E121" s="164">
        <f t="shared" si="10"/>
        <v>37514</v>
      </c>
      <c r="F121" s="163">
        <f t="shared" si="11"/>
        <v>905093</v>
      </c>
      <c r="G121" s="163">
        <f t="shared" si="12"/>
        <v>923850</v>
      </c>
      <c r="H121" s="167">
        <f t="shared" si="18"/>
        <v>154706.70198860261</v>
      </c>
      <c r="I121" s="317">
        <f t="shared" si="13"/>
        <v>154706.70198860261</v>
      </c>
      <c r="J121" s="162">
        <f t="shared" si="14"/>
        <v>0</v>
      </c>
      <c r="K121" s="162"/>
      <c r="L121" s="335"/>
      <c r="M121" s="162">
        <f t="shared" si="15"/>
        <v>0</v>
      </c>
      <c r="N121" s="335"/>
      <c r="O121" s="162">
        <f t="shared" si="16"/>
        <v>0</v>
      </c>
      <c r="P121" s="162">
        <f t="shared" si="17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905093</v>
      </c>
      <c r="E122" s="164">
        <f t="shared" si="10"/>
        <v>37514</v>
      </c>
      <c r="F122" s="163">
        <f t="shared" si="11"/>
        <v>867579</v>
      </c>
      <c r="G122" s="163">
        <f t="shared" si="12"/>
        <v>886336</v>
      </c>
      <c r="H122" s="167">
        <f t="shared" si="18"/>
        <v>149947.95649701799</v>
      </c>
      <c r="I122" s="317">
        <f t="shared" si="13"/>
        <v>149947.95649701799</v>
      </c>
      <c r="J122" s="162">
        <f t="shared" si="14"/>
        <v>0</v>
      </c>
      <c r="K122" s="162"/>
      <c r="L122" s="335"/>
      <c r="M122" s="162">
        <f t="shared" si="15"/>
        <v>0</v>
      </c>
      <c r="N122" s="335"/>
      <c r="O122" s="162">
        <f t="shared" si="16"/>
        <v>0</v>
      </c>
      <c r="P122" s="162">
        <f t="shared" si="17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867579</v>
      </c>
      <c r="E123" s="164">
        <f t="shared" si="10"/>
        <v>37514</v>
      </c>
      <c r="F123" s="163">
        <f t="shared" si="11"/>
        <v>830065</v>
      </c>
      <c r="G123" s="163">
        <f t="shared" si="12"/>
        <v>848822</v>
      </c>
      <c r="H123" s="167">
        <f t="shared" si="18"/>
        <v>145189.2110054334</v>
      </c>
      <c r="I123" s="317">
        <f t="shared" si="13"/>
        <v>145189.2110054334</v>
      </c>
      <c r="J123" s="162">
        <f t="shared" si="14"/>
        <v>0</v>
      </c>
      <c r="K123" s="162"/>
      <c r="L123" s="335"/>
      <c r="M123" s="162">
        <f t="shared" si="15"/>
        <v>0</v>
      </c>
      <c r="N123" s="335"/>
      <c r="O123" s="162">
        <f t="shared" si="16"/>
        <v>0</v>
      </c>
      <c r="P123" s="162">
        <f t="shared" si="17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830065</v>
      </c>
      <c r="E124" s="164">
        <f t="shared" si="10"/>
        <v>37514</v>
      </c>
      <c r="F124" s="163">
        <f t="shared" si="11"/>
        <v>792551</v>
      </c>
      <c r="G124" s="163">
        <f t="shared" si="12"/>
        <v>811308</v>
      </c>
      <c r="H124" s="167">
        <f t="shared" si="18"/>
        <v>140430.46551384879</v>
      </c>
      <c r="I124" s="317">
        <f t="shared" si="13"/>
        <v>140430.46551384879</v>
      </c>
      <c r="J124" s="162">
        <f t="shared" si="14"/>
        <v>0</v>
      </c>
      <c r="K124" s="162"/>
      <c r="L124" s="335"/>
      <c r="M124" s="162">
        <f t="shared" si="15"/>
        <v>0</v>
      </c>
      <c r="N124" s="335"/>
      <c r="O124" s="162">
        <f t="shared" si="16"/>
        <v>0</v>
      </c>
      <c r="P124" s="162">
        <f t="shared" si="17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792551</v>
      </c>
      <c r="E125" s="164">
        <f t="shared" si="10"/>
        <v>37514</v>
      </c>
      <c r="F125" s="163">
        <f t="shared" si="11"/>
        <v>755037</v>
      </c>
      <c r="G125" s="163">
        <f t="shared" si="12"/>
        <v>773794</v>
      </c>
      <c r="H125" s="167">
        <f t="shared" si="18"/>
        <v>135671.72002226417</v>
      </c>
      <c r="I125" s="317">
        <f t="shared" si="13"/>
        <v>135671.72002226417</v>
      </c>
      <c r="J125" s="162">
        <f t="shared" si="14"/>
        <v>0</v>
      </c>
      <c r="K125" s="162"/>
      <c r="L125" s="335"/>
      <c r="M125" s="162">
        <f t="shared" si="15"/>
        <v>0</v>
      </c>
      <c r="N125" s="335"/>
      <c r="O125" s="162">
        <f t="shared" si="16"/>
        <v>0</v>
      </c>
      <c r="P125" s="162">
        <f t="shared" si="17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755037</v>
      </c>
      <c r="E126" s="164">
        <f t="shared" si="10"/>
        <v>37514</v>
      </c>
      <c r="F126" s="163">
        <f t="shared" si="11"/>
        <v>717523</v>
      </c>
      <c r="G126" s="163">
        <f t="shared" si="12"/>
        <v>736280</v>
      </c>
      <c r="H126" s="167">
        <f t="shared" si="18"/>
        <v>130912.97453067958</v>
      </c>
      <c r="I126" s="317">
        <f t="shared" si="13"/>
        <v>130912.97453067958</v>
      </c>
      <c r="J126" s="162">
        <f t="shared" si="14"/>
        <v>0</v>
      </c>
      <c r="K126" s="162"/>
      <c r="L126" s="335"/>
      <c r="M126" s="162">
        <f t="shared" si="15"/>
        <v>0</v>
      </c>
      <c r="N126" s="335"/>
      <c r="O126" s="162">
        <f t="shared" si="16"/>
        <v>0</v>
      </c>
      <c r="P126" s="162">
        <f t="shared" si="17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717523</v>
      </c>
      <c r="E127" s="164">
        <f t="shared" si="10"/>
        <v>37514</v>
      </c>
      <c r="F127" s="163">
        <f t="shared" si="11"/>
        <v>680009</v>
      </c>
      <c r="G127" s="163">
        <f t="shared" si="12"/>
        <v>698766</v>
      </c>
      <c r="H127" s="167">
        <f t="shared" si="18"/>
        <v>126154.22903909496</v>
      </c>
      <c r="I127" s="317">
        <f t="shared" si="13"/>
        <v>126154.22903909496</v>
      </c>
      <c r="J127" s="162">
        <f t="shared" si="14"/>
        <v>0</v>
      </c>
      <c r="K127" s="162"/>
      <c r="L127" s="335"/>
      <c r="M127" s="162">
        <f t="shared" si="15"/>
        <v>0</v>
      </c>
      <c r="N127" s="335"/>
      <c r="O127" s="162">
        <f t="shared" si="16"/>
        <v>0</v>
      </c>
      <c r="P127" s="162">
        <f t="shared" si="17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680009</v>
      </c>
      <c r="E128" s="164">
        <f t="shared" si="10"/>
        <v>37514</v>
      </c>
      <c r="F128" s="163">
        <f t="shared" si="11"/>
        <v>642495</v>
      </c>
      <c r="G128" s="163">
        <f t="shared" si="12"/>
        <v>661252</v>
      </c>
      <c r="H128" s="167">
        <f t="shared" si="18"/>
        <v>121395.48354751036</v>
      </c>
      <c r="I128" s="317">
        <f t="shared" si="13"/>
        <v>121395.48354751036</v>
      </c>
      <c r="J128" s="162">
        <f t="shared" si="14"/>
        <v>0</v>
      </c>
      <c r="K128" s="162"/>
      <c r="L128" s="335"/>
      <c r="M128" s="162">
        <f t="shared" si="15"/>
        <v>0</v>
      </c>
      <c r="N128" s="335"/>
      <c r="O128" s="162">
        <f t="shared" si="16"/>
        <v>0</v>
      </c>
      <c r="P128" s="162">
        <f t="shared" si="17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642495</v>
      </c>
      <c r="E129" s="164">
        <f t="shared" si="10"/>
        <v>37514</v>
      </c>
      <c r="F129" s="163">
        <f t="shared" si="11"/>
        <v>604981</v>
      </c>
      <c r="G129" s="163">
        <f t="shared" si="12"/>
        <v>623738</v>
      </c>
      <c r="H129" s="167">
        <f t="shared" si="18"/>
        <v>116636.73805592576</v>
      </c>
      <c r="I129" s="317">
        <f t="shared" si="13"/>
        <v>116636.73805592576</v>
      </c>
      <c r="J129" s="162">
        <f t="shared" si="14"/>
        <v>0</v>
      </c>
      <c r="K129" s="162"/>
      <c r="L129" s="335"/>
      <c r="M129" s="162">
        <f t="shared" si="15"/>
        <v>0</v>
      </c>
      <c r="N129" s="335"/>
      <c r="O129" s="162">
        <f t="shared" si="16"/>
        <v>0</v>
      </c>
      <c r="P129" s="162">
        <f t="shared" si="17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604981</v>
      </c>
      <c r="E130" s="164">
        <f t="shared" si="10"/>
        <v>37514</v>
      </c>
      <c r="F130" s="163">
        <f t="shared" si="11"/>
        <v>567467</v>
      </c>
      <c r="G130" s="163">
        <f t="shared" si="12"/>
        <v>586224</v>
      </c>
      <c r="H130" s="167">
        <f t="shared" si="18"/>
        <v>111877.99256434116</v>
      </c>
      <c r="I130" s="317">
        <f t="shared" si="13"/>
        <v>111877.99256434116</v>
      </c>
      <c r="J130" s="162">
        <f t="shared" si="14"/>
        <v>0</v>
      </c>
      <c r="K130" s="162"/>
      <c r="L130" s="335"/>
      <c r="M130" s="162">
        <f t="shared" si="15"/>
        <v>0</v>
      </c>
      <c r="N130" s="335"/>
      <c r="O130" s="162">
        <f t="shared" si="16"/>
        <v>0</v>
      </c>
      <c r="P130" s="162">
        <f t="shared" si="17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567467</v>
      </c>
      <c r="E131" s="164">
        <f t="shared" si="10"/>
        <v>37514</v>
      </c>
      <c r="F131" s="163">
        <f t="shared" si="11"/>
        <v>529953</v>
      </c>
      <c r="G131" s="163">
        <f t="shared" si="12"/>
        <v>548710</v>
      </c>
      <c r="H131" s="167">
        <f t="shared" si="18"/>
        <v>107119.24707275655</v>
      </c>
      <c r="I131" s="317">
        <f t="shared" si="13"/>
        <v>107119.24707275655</v>
      </c>
      <c r="J131" s="162">
        <f t="shared" si="14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529953</v>
      </c>
      <c r="E132" s="164">
        <f t="shared" si="10"/>
        <v>37514</v>
      </c>
      <c r="F132" s="163">
        <f t="shared" si="11"/>
        <v>492439</v>
      </c>
      <c r="G132" s="163">
        <f t="shared" si="12"/>
        <v>511196</v>
      </c>
      <c r="H132" s="167">
        <f t="shared" si="18"/>
        <v>102360.50158117193</v>
      </c>
      <c r="I132" s="317">
        <f t="shared" si="13"/>
        <v>102360.50158117193</v>
      </c>
      <c r="J132" s="162">
        <f t="shared" si="14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492439</v>
      </c>
      <c r="E133" s="164">
        <f t="shared" si="10"/>
        <v>37514</v>
      </c>
      <c r="F133" s="163">
        <f t="shared" si="11"/>
        <v>454925</v>
      </c>
      <c r="G133" s="163">
        <f t="shared" si="12"/>
        <v>473682</v>
      </c>
      <c r="H133" s="167">
        <f t="shared" si="18"/>
        <v>97601.756089587332</v>
      </c>
      <c r="I133" s="317">
        <f t="shared" si="13"/>
        <v>97601.756089587332</v>
      </c>
      <c r="J133" s="162">
        <f t="shared" si="14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454925</v>
      </c>
      <c r="E134" s="164">
        <f t="shared" si="10"/>
        <v>37514</v>
      </c>
      <c r="F134" s="163">
        <f t="shared" si="11"/>
        <v>417411</v>
      </c>
      <c r="G134" s="163">
        <f t="shared" si="12"/>
        <v>436168</v>
      </c>
      <c r="H134" s="167">
        <f t="shared" si="18"/>
        <v>92843.010598002729</v>
      </c>
      <c r="I134" s="317">
        <f t="shared" si="13"/>
        <v>92843.010598002729</v>
      </c>
      <c r="J134" s="162">
        <f t="shared" si="14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417411</v>
      </c>
      <c r="E135" s="164">
        <f t="shared" si="10"/>
        <v>37514</v>
      </c>
      <c r="F135" s="163">
        <f t="shared" si="11"/>
        <v>379897</v>
      </c>
      <c r="G135" s="163">
        <f t="shared" si="12"/>
        <v>398654</v>
      </c>
      <c r="H135" s="167">
        <f t="shared" si="18"/>
        <v>88084.265106418112</v>
      </c>
      <c r="I135" s="317">
        <f t="shared" si="13"/>
        <v>88084.265106418112</v>
      </c>
      <c r="J135" s="162">
        <f t="shared" si="14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379897</v>
      </c>
      <c r="E136" s="164">
        <f t="shared" si="10"/>
        <v>37514</v>
      </c>
      <c r="F136" s="163">
        <f t="shared" si="11"/>
        <v>342383</v>
      </c>
      <c r="G136" s="163">
        <f t="shared" si="12"/>
        <v>361140</v>
      </c>
      <c r="H136" s="167">
        <f t="shared" si="18"/>
        <v>83325.519614833524</v>
      </c>
      <c r="I136" s="317">
        <f t="shared" si="13"/>
        <v>83325.519614833524</v>
      </c>
      <c r="J136" s="162">
        <f t="shared" si="14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342383</v>
      </c>
      <c r="E137" s="164">
        <f t="shared" si="10"/>
        <v>37514</v>
      </c>
      <c r="F137" s="163">
        <f t="shared" si="11"/>
        <v>304869</v>
      </c>
      <c r="G137" s="163">
        <f t="shared" si="12"/>
        <v>323626</v>
      </c>
      <c r="H137" s="167">
        <f t="shared" si="18"/>
        <v>78566.774123248906</v>
      </c>
      <c r="I137" s="317">
        <f t="shared" si="13"/>
        <v>78566.774123248906</v>
      </c>
      <c r="J137" s="162">
        <f t="shared" si="14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304869</v>
      </c>
      <c r="E138" s="164">
        <f t="shared" si="10"/>
        <v>37514</v>
      </c>
      <c r="F138" s="163">
        <f t="shared" si="11"/>
        <v>267355</v>
      </c>
      <c r="G138" s="163">
        <f t="shared" si="12"/>
        <v>286112</v>
      </c>
      <c r="H138" s="167">
        <f t="shared" si="18"/>
        <v>73808.028631664303</v>
      </c>
      <c r="I138" s="317">
        <f t="shared" si="13"/>
        <v>73808.028631664303</v>
      </c>
      <c r="J138" s="162">
        <f t="shared" si="14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267355</v>
      </c>
      <c r="E139" s="164">
        <f t="shared" si="10"/>
        <v>37514</v>
      </c>
      <c r="F139" s="163">
        <f t="shared" si="11"/>
        <v>229841</v>
      </c>
      <c r="G139" s="163">
        <f t="shared" si="12"/>
        <v>248598</v>
      </c>
      <c r="H139" s="167">
        <f t="shared" si="18"/>
        <v>69049.2831400797</v>
      </c>
      <c r="I139" s="317">
        <f t="shared" si="13"/>
        <v>69049.2831400797</v>
      </c>
      <c r="J139" s="162">
        <f t="shared" si="14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229841</v>
      </c>
      <c r="E140" s="164">
        <f t="shared" si="10"/>
        <v>37514</v>
      </c>
      <c r="F140" s="163">
        <f t="shared" si="11"/>
        <v>192327</v>
      </c>
      <c r="G140" s="163">
        <f t="shared" si="12"/>
        <v>211084</v>
      </c>
      <c r="H140" s="167">
        <f t="shared" si="18"/>
        <v>64290.537648495098</v>
      </c>
      <c r="I140" s="317">
        <f t="shared" si="13"/>
        <v>64290.537648495098</v>
      </c>
      <c r="J140" s="162">
        <f t="shared" si="14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192327</v>
      </c>
      <c r="E141" s="164">
        <f t="shared" si="10"/>
        <v>37514</v>
      </c>
      <c r="F141" s="163">
        <f t="shared" si="11"/>
        <v>154813</v>
      </c>
      <c r="G141" s="163">
        <f t="shared" si="12"/>
        <v>173570</v>
      </c>
      <c r="H141" s="167">
        <f t="shared" si="18"/>
        <v>59531.792156910487</v>
      </c>
      <c r="I141" s="317">
        <f t="shared" si="13"/>
        <v>59531.792156910487</v>
      </c>
      <c r="J141" s="162">
        <f t="shared" si="14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154813</v>
      </c>
      <c r="E142" s="164">
        <f t="shared" si="10"/>
        <v>37514</v>
      </c>
      <c r="F142" s="163">
        <f t="shared" si="11"/>
        <v>117299</v>
      </c>
      <c r="G142" s="163">
        <f t="shared" si="12"/>
        <v>136056</v>
      </c>
      <c r="H142" s="167">
        <f t="shared" si="18"/>
        <v>54773.046665325877</v>
      </c>
      <c r="I142" s="317">
        <f t="shared" si="13"/>
        <v>54773.046665325877</v>
      </c>
      <c r="J142" s="162">
        <f t="shared" si="14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117299</v>
      </c>
      <c r="E143" s="164">
        <f t="shared" si="10"/>
        <v>37514</v>
      </c>
      <c r="F143" s="163">
        <f t="shared" si="11"/>
        <v>79785</v>
      </c>
      <c r="G143" s="163">
        <f t="shared" si="12"/>
        <v>98542</v>
      </c>
      <c r="H143" s="167">
        <f t="shared" si="18"/>
        <v>50014.301173741274</v>
      </c>
      <c r="I143" s="317">
        <f t="shared" si="13"/>
        <v>50014.301173741274</v>
      </c>
      <c r="J143" s="162">
        <f t="shared" si="14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79785</v>
      </c>
      <c r="E144" s="164">
        <f t="shared" si="10"/>
        <v>37514</v>
      </c>
      <c r="F144" s="163">
        <f t="shared" si="11"/>
        <v>42271</v>
      </c>
      <c r="G144" s="163">
        <f t="shared" si="12"/>
        <v>61028</v>
      </c>
      <c r="H144" s="167">
        <f t="shared" si="18"/>
        <v>45255.555682156672</v>
      </c>
      <c r="I144" s="317">
        <f t="shared" si="13"/>
        <v>45255.555682156672</v>
      </c>
      <c r="J144" s="162">
        <f t="shared" si="14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42271</v>
      </c>
      <c r="E145" s="164">
        <f t="shared" si="10"/>
        <v>37514</v>
      </c>
      <c r="F145" s="163">
        <f t="shared" si="11"/>
        <v>4757</v>
      </c>
      <c r="G145" s="163">
        <f t="shared" si="12"/>
        <v>23514</v>
      </c>
      <c r="H145" s="167">
        <f t="shared" si="18"/>
        <v>40496.810190572061</v>
      </c>
      <c r="I145" s="317">
        <f t="shared" si="13"/>
        <v>40496.810190572061</v>
      </c>
      <c r="J145" s="162">
        <f t="shared" si="14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4757</v>
      </c>
      <c r="E146" s="164">
        <f t="shared" si="10"/>
        <v>4757</v>
      </c>
      <c r="F146" s="163">
        <f t="shared" si="11"/>
        <v>0</v>
      </c>
      <c r="G146" s="163">
        <f t="shared" si="12"/>
        <v>2378.5</v>
      </c>
      <c r="H146" s="167">
        <f t="shared" si="18"/>
        <v>5058.7187223898809</v>
      </c>
      <c r="I146" s="317">
        <f t="shared" si="13"/>
        <v>5058.7187223898809</v>
      </c>
      <c r="J146" s="162">
        <f t="shared" si="14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0"/>
        <v>0</v>
      </c>
      <c r="F147" s="163">
        <f t="shared" si="11"/>
        <v>0</v>
      </c>
      <c r="G147" s="163">
        <f t="shared" si="12"/>
        <v>0</v>
      </c>
      <c r="H147" s="167">
        <f t="shared" si="18"/>
        <v>0</v>
      </c>
      <c r="I147" s="317">
        <f t="shared" si="13"/>
        <v>0</v>
      </c>
      <c r="J147" s="162">
        <f t="shared" si="14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0"/>
        <v>0</v>
      </c>
      <c r="F148" s="163">
        <f t="shared" si="11"/>
        <v>0</v>
      </c>
      <c r="G148" s="163">
        <f t="shared" si="12"/>
        <v>0</v>
      </c>
      <c r="H148" s="167">
        <f t="shared" si="18"/>
        <v>0</v>
      </c>
      <c r="I148" s="317">
        <f t="shared" si="13"/>
        <v>0</v>
      </c>
      <c r="J148" s="162">
        <f t="shared" si="14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0"/>
        <v>0</v>
      </c>
      <c r="F149" s="163">
        <f t="shared" si="11"/>
        <v>0</v>
      </c>
      <c r="G149" s="163">
        <f t="shared" si="12"/>
        <v>0</v>
      </c>
      <c r="H149" s="167">
        <f t="shared" si="18"/>
        <v>0</v>
      </c>
      <c r="I149" s="317">
        <f t="shared" si="13"/>
        <v>0</v>
      </c>
      <c r="J149" s="162">
        <f t="shared" si="14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0"/>
        <v>0</v>
      </c>
      <c r="F150" s="163">
        <f t="shared" si="11"/>
        <v>0</v>
      </c>
      <c r="G150" s="163">
        <f t="shared" si="12"/>
        <v>0</v>
      </c>
      <c r="H150" s="167">
        <f t="shared" si="18"/>
        <v>0</v>
      </c>
      <c r="I150" s="317">
        <f t="shared" si="13"/>
        <v>0</v>
      </c>
      <c r="J150" s="162">
        <f t="shared" si="14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0"/>
        <v>0</v>
      </c>
      <c r="F151" s="163">
        <f t="shared" si="11"/>
        <v>0</v>
      </c>
      <c r="G151" s="163">
        <f t="shared" si="12"/>
        <v>0</v>
      </c>
      <c r="H151" s="167">
        <f t="shared" si="18"/>
        <v>0</v>
      </c>
      <c r="I151" s="317">
        <f t="shared" si="13"/>
        <v>0</v>
      </c>
      <c r="J151" s="162">
        <f t="shared" si="14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0"/>
        <v>0</v>
      </c>
      <c r="F152" s="163">
        <f t="shared" si="11"/>
        <v>0</v>
      </c>
      <c r="G152" s="163">
        <f t="shared" si="12"/>
        <v>0</v>
      </c>
      <c r="H152" s="167">
        <f t="shared" si="18"/>
        <v>0</v>
      </c>
      <c r="I152" s="317">
        <f t="shared" si="13"/>
        <v>0</v>
      </c>
      <c r="J152" s="162">
        <f t="shared" si="14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0"/>
        <v>0</v>
      </c>
      <c r="F153" s="163">
        <f t="shared" si="11"/>
        <v>0</v>
      </c>
      <c r="G153" s="163">
        <f t="shared" si="12"/>
        <v>0</v>
      </c>
      <c r="H153" s="167">
        <f t="shared" si="18"/>
        <v>0</v>
      </c>
      <c r="I153" s="317">
        <f t="shared" si="13"/>
        <v>0</v>
      </c>
      <c r="J153" s="162">
        <f t="shared" si="14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388">
        <f>IF(F153+SUM(E$99:E153)=D$92,F153,D$92-SUM(E$99:E153))</f>
        <v>0</v>
      </c>
      <c r="E154" s="170">
        <f t="shared" si="10"/>
        <v>0</v>
      </c>
      <c r="F154" s="169">
        <f t="shared" si="11"/>
        <v>0</v>
      </c>
      <c r="G154" s="169">
        <f t="shared" si="12"/>
        <v>0</v>
      </c>
      <c r="H154" s="171">
        <f t="shared" si="18"/>
        <v>0</v>
      </c>
      <c r="I154" s="318">
        <f t="shared" si="13"/>
        <v>0</v>
      </c>
      <c r="J154" s="173">
        <f t="shared" si="14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1725647</v>
      </c>
      <c r="F155" s="115"/>
      <c r="G155" s="115"/>
      <c r="H155" s="115">
        <f>SUM(H99:H154)</f>
        <v>6804984.4453888955</v>
      </c>
      <c r="I155" s="115">
        <f>SUM(I99:I154)</f>
        <v>6804984.4453888955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zoomScale="78" zoomScaleNormal="100" zoomScaleSheetLayoutView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19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175351.45606998727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175351.45606998727</v>
      </c>
      <c r="O6" s="1"/>
      <c r="P6" s="1"/>
    </row>
    <row r="7" spans="1:16" ht="13.5" thickBot="1">
      <c r="C7" s="127" t="s">
        <v>41</v>
      </c>
      <c r="D7" s="227" t="s">
        <v>272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1338978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33474.449999999997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466">
        <v>0</v>
      </c>
      <c r="E17" s="469">
        <v>21831.16304347826</v>
      </c>
      <c r="F17" s="467">
        <v>1317146.8369565217</v>
      </c>
      <c r="G17" s="469">
        <v>105641.64744568808</v>
      </c>
      <c r="H17" s="468">
        <v>105641.64744568808</v>
      </c>
      <c r="I17" s="160">
        <f t="shared" ref="I17:I72" si="0">H17-G17</f>
        <v>0</v>
      </c>
      <c r="J17" s="160"/>
      <c r="K17" s="337">
        <f>+G17</f>
        <v>105641.64744568808</v>
      </c>
      <c r="L17" s="161">
        <f t="shared" ref="L17:L72" si="1">IF(K17&lt;&gt;0,+G17-K17,0)</f>
        <v>0</v>
      </c>
      <c r="M17" s="337">
        <f>+H17</f>
        <v>105641.64744568808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20">
        <v>1317146.8369565217</v>
      </c>
      <c r="E18" s="421">
        <v>29755.066666666666</v>
      </c>
      <c r="F18" s="420">
        <v>1287391.7702898551</v>
      </c>
      <c r="G18" s="421">
        <v>185713.45898482588</v>
      </c>
      <c r="H18" s="425">
        <v>185713.45898482588</v>
      </c>
      <c r="I18" s="160">
        <f t="shared" si="0"/>
        <v>0</v>
      </c>
      <c r="J18" s="160"/>
      <c r="K18" s="338">
        <f>G18</f>
        <v>185713.45898482588</v>
      </c>
      <c r="L18" s="440">
        <f>IF(K18&lt;&gt;0,+G18-K18,0)</f>
        <v>0</v>
      </c>
      <c r="M18" s="338">
        <f>H18</f>
        <v>185713.45898482588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1287391.7702898551</v>
      </c>
      <c r="E19" s="164">
        <f t="shared" ref="E19:E72" si="4">IF(+I$14&lt;F18,I$14,D19)</f>
        <v>33474.449999999997</v>
      </c>
      <c r="F19" s="163">
        <f t="shared" ref="F19:F72" si="5">+D19-E19</f>
        <v>1253917.3202898551</v>
      </c>
      <c r="G19" s="165">
        <f t="shared" ref="G19:G72" si="6">(D19+F19)/2*I$12+E19</f>
        <v>175351.45606998727</v>
      </c>
      <c r="H19" s="147">
        <f t="shared" ref="H19:H72" si="7">+(D19+F19)/2*I$13+E19</f>
        <v>175351.45606998727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1253917.3202898551</v>
      </c>
      <c r="E20" s="164">
        <f t="shared" si="4"/>
        <v>33474.449999999997</v>
      </c>
      <c r="F20" s="163">
        <f t="shared" si="5"/>
        <v>1220442.8702898552</v>
      </c>
      <c r="G20" s="165">
        <f t="shared" si="6"/>
        <v>171613.81174844893</v>
      </c>
      <c r="H20" s="147">
        <f t="shared" si="7"/>
        <v>171613.81174844893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1220442.8702898552</v>
      </c>
      <c r="E21" s="164">
        <f t="shared" si="4"/>
        <v>33474.449999999997</v>
      </c>
      <c r="F21" s="163">
        <f t="shared" si="5"/>
        <v>1186968.4202898552</v>
      </c>
      <c r="G21" s="165">
        <f t="shared" si="6"/>
        <v>167876.1674269106</v>
      </c>
      <c r="H21" s="147">
        <f t="shared" si="7"/>
        <v>167876.1674269106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1186968.4202898552</v>
      </c>
      <c r="E22" s="164">
        <f t="shared" si="4"/>
        <v>33474.449999999997</v>
      </c>
      <c r="F22" s="163">
        <f t="shared" si="5"/>
        <v>1153493.9702898553</v>
      </c>
      <c r="G22" s="165">
        <f t="shared" si="6"/>
        <v>164138.52310537233</v>
      </c>
      <c r="H22" s="147">
        <f t="shared" si="7"/>
        <v>164138.52310537233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1153493.9702898553</v>
      </c>
      <c r="E23" s="164">
        <f t="shared" si="4"/>
        <v>33474.449999999997</v>
      </c>
      <c r="F23" s="163">
        <f t="shared" si="5"/>
        <v>1120019.5202898553</v>
      </c>
      <c r="G23" s="165">
        <f t="shared" si="6"/>
        <v>160400.87878383399</v>
      </c>
      <c r="H23" s="147">
        <f t="shared" si="7"/>
        <v>160400.87878383399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1120019.5202898553</v>
      </c>
      <c r="E24" s="164">
        <f t="shared" si="4"/>
        <v>33474.449999999997</v>
      </c>
      <c r="F24" s="163">
        <f t="shared" si="5"/>
        <v>1086545.0702898554</v>
      </c>
      <c r="G24" s="165">
        <f t="shared" si="6"/>
        <v>156663.23446229569</v>
      </c>
      <c r="H24" s="147">
        <f t="shared" si="7"/>
        <v>156663.23446229569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1086545.0702898554</v>
      </c>
      <c r="E25" s="164">
        <f t="shared" si="4"/>
        <v>33474.449999999997</v>
      </c>
      <c r="F25" s="163">
        <f t="shared" si="5"/>
        <v>1053070.6202898554</v>
      </c>
      <c r="G25" s="165">
        <f t="shared" si="6"/>
        <v>152925.59014075733</v>
      </c>
      <c r="H25" s="147">
        <f t="shared" si="7"/>
        <v>152925.59014075733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1053070.6202898554</v>
      </c>
      <c r="E26" s="164">
        <f t="shared" si="4"/>
        <v>33474.449999999997</v>
      </c>
      <c r="F26" s="163">
        <f t="shared" si="5"/>
        <v>1019596.1702898555</v>
      </c>
      <c r="G26" s="165">
        <f t="shared" si="6"/>
        <v>149187.94581921905</v>
      </c>
      <c r="H26" s="147">
        <f t="shared" si="7"/>
        <v>149187.94581921905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1019596.1702898555</v>
      </c>
      <c r="E27" s="164">
        <f t="shared" si="4"/>
        <v>33474.449999999997</v>
      </c>
      <c r="F27" s="163">
        <f t="shared" si="5"/>
        <v>986121.7202898555</v>
      </c>
      <c r="G27" s="165">
        <f t="shared" si="6"/>
        <v>145450.30149768072</v>
      </c>
      <c r="H27" s="147">
        <f t="shared" si="7"/>
        <v>145450.30149768072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986121.7202898555</v>
      </c>
      <c r="E28" s="164">
        <f t="shared" si="4"/>
        <v>33474.449999999997</v>
      </c>
      <c r="F28" s="163">
        <f t="shared" si="5"/>
        <v>952647.27028985554</v>
      </c>
      <c r="G28" s="165">
        <f t="shared" si="6"/>
        <v>141712.65717614241</v>
      </c>
      <c r="H28" s="147">
        <f t="shared" si="7"/>
        <v>141712.65717614241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952647.27028985554</v>
      </c>
      <c r="E29" s="164">
        <f t="shared" si="4"/>
        <v>33474.449999999997</v>
      </c>
      <c r="F29" s="163">
        <f t="shared" si="5"/>
        <v>919172.82028985559</v>
      </c>
      <c r="G29" s="165">
        <f t="shared" si="6"/>
        <v>137975.01285460411</v>
      </c>
      <c r="H29" s="147">
        <f t="shared" si="7"/>
        <v>137975.01285460411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919172.82028985559</v>
      </c>
      <c r="E30" s="164">
        <f t="shared" si="4"/>
        <v>33474.449999999997</v>
      </c>
      <c r="F30" s="163">
        <f t="shared" si="5"/>
        <v>885698.37028985564</v>
      </c>
      <c r="G30" s="165">
        <f t="shared" si="6"/>
        <v>134237.36853306578</v>
      </c>
      <c r="H30" s="147">
        <f t="shared" si="7"/>
        <v>134237.36853306578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885698.37028985564</v>
      </c>
      <c r="E31" s="164">
        <f t="shared" si="4"/>
        <v>33474.449999999997</v>
      </c>
      <c r="F31" s="163">
        <f t="shared" si="5"/>
        <v>852223.92028985568</v>
      </c>
      <c r="G31" s="165">
        <f t="shared" si="6"/>
        <v>130499.72421152746</v>
      </c>
      <c r="H31" s="147">
        <f t="shared" si="7"/>
        <v>130499.72421152746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852223.92028985568</v>
      </c>
      <c r="E32" s="164">
        <f t="shared" si="4"/>
        <v>33474.449999999997</v>
      </c>
      <c r="F32" s="163">
        <f t="shared" si="5"/>
        <v>818749.47028985573</v>
      </c>
      <c r="G32" s="165">
        <f t="shared" si="6"/>
        <v>126762.07988998914</v>
      </c>
      <c r="H32" s="147">
        <f t="shared" si="7"/>
        <v>126762.07988998914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818749.47028985573</v>
      </c>
      <c r="E33" s="164">
        <f t="shared" si="4"/>
        <v>33474.449999999997</v>
      </c>
      <c r="F33" s="163">
        <f t="shared" si="5"/>
        <v>785275.02028985578</v>
      </c>
      <c r="G33" s="165">
        <f t="shared" si="6"/>
        <v>123024.43556845082</v>
      </c>
      <c r="H33" s="147">
        <f t="shared" si="7"/>
        <v>123024.43556845082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785275.02028985578</v>
      </c>
      <c r="E34" s="164">
        <f t="shared" si="4"/>
        <v>33474.449999999997</v>
      </c>
      <c r="F34" s="163">
        <f t="shared" si="5"/>
        <v>751800.57028985582</v>
      </c>
      <c r="G34" s="165">
        <f t="shared" si="6"/>
        <v>119286.79124691251</v>
      </c>
      <c r="H34" s="147">
        <f t="shared" si="7"/>
        <v>119286.79124691251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751800.57028985582</v>
      </c>
      <c r="E35" s="164">
        <f t="shared" si="4"/>
        <v>33474.449999999997</v>
      </c>
      <c r="F35" s="163">
        <f t="shared" si="5"/>
        <v>718326.12028985587</v>
      </c>
      <c r="G35" s="165">
        <f t="shared" si="6"/>
        <v>115549.1469253742</v>
      </c>
      <c r="H35" s="147">
        <f t="shared" si="7"/>
        <v>115549.1469253742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718326.12028985587</v>
      </c>
      <c r="E36" s="164">
        <f t="shared" si="4"/>
        <v>33474.449999999997</v>
      </c>
      <c r="F36" s="163">
        <f t="shared" si="5"/>
        <v>684851.67028985592</v>
      </c>
      <c r="G36" s="165">
        <f t="shared" si="6"/>
        <v>111811.50260383588</v>
      </c>
      <c r="H36" s="147">
        <f t="shared" si="7"/>
        <v>111811.50260383588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684851.67028985592</v>
      </c>
      <c r="E37" s="164">
        <f t="shared" si="4"/>
        <v>33474.449999999997</v>
      </c>
      <c r="F37" s="163">
        <f t="shared" si="5"/>
        <v>651377.22028985596</v>
      </c>
      <c r="G37" s="165">
        <f t="shared" si="6"/>
        <v>108073.85828229756</v>
      </c>
      <c r="H37" s="147">
        <f t="shared" si="7"/>
        <v>108073.85828229756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651377.22028985596</v>
      </c>
      <c r="E38" s="164">
        <f t="shared" si="4"/>
        <v>33474.449999999997</v>
      </c>
      <c r="F38" s="163">
        <f t="shared" si="5"/>
        <v>617902.77028985601</v>
      </c>
      <c r="G38" s="165">
        <f t="shared" si="6"/>
        <v>104336.21396075924</v>
      </c>
      <c r="H38" s="147">
        <f t="shared" si="7"/>
        <v>104336.21396075924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617902.77028985601</v>
      </c>
      <c r="E39" s="164">
        <f t="shared" si="4"/>
        <v>33474.449999999997</v>
      </c>
      <c r="F39" s="163">
        <f t="shared" si="5"/>
        <v>584428.32028985606</v>
      </c>
      <c r="G39" s="165">
        <f t="shared" si="6"/>
        <v>100598.56963922092</v>
      </c>
      <c r="H39" s="147">
        <f t="shared" si="7"/>
        <v>100598.56963922092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584428.32028985606</v>
      </c>
      <c r="E40" s="164">
        <f t="shared" si="4"/>
        <v>33474.449999999997</v>
      </c>
      <c r="F40" s="163">
        <f t="shared" si="5"/>
        <v>550953.8702898561</v>
      </c>
      <c r="G40" s="165">
        <f t="shared" si="6"/>
        <v>96860.925317682617</v>
      </c>
      <c r="H40" s="147">
        <f t="shared" si="7"/>
        <v>96860.925317682617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550953.8702898561</v>
      </c>
      <c r="E41" s="164">
        <f t="shared" si="4"/>
        <v>33474.449999999997</v>
      </c>
      <c r="F41" s="163">
        <f t="shared" si="5"/>
        <v>517479.42028985609</v>
      </c>
      <c r="G41" s="165">
        <f t="shared" si="6"/>
        <v>93123.280996144284</v>
      </c>
      <c r="H41" s="147">
        <f t="shared" si="7"/>
        <v>93123.280996144284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517479.42028985609</v>
      </c>
      <c r="E42" s="164">
        <f t="shared" si="4"/>
        <v>33474.449999999997</v>
      </c>
      <c r="F42" s="163">
        <f t="shared" si="5"/>
        <v>484004.97028985608</v>
      </c>
      <c r="G42" s="165">
        <f t="shared" si="6"/>
        <v>89385.636674605965</v>
      </c>
      <c r="H42" s="147">
        <f t="shared" si="7"/>
        <v>89385.636674605965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484004.97028985608</v>
      </c>
      <c r="E43" s="164">
        <f t="shared" si="4"/>
        <v>33474.449999999997</v>
      </c>
      <c r="F43" s="163">
        <f t="shared" si="5"/>
        <v>450530.52028985607</v>
      </c>
      <c r="G43" s="165">
        <f t="shared" si="6"/>
        <v>85647.992353067646</v>
      </c>
      <c r="H43" s="147">
        <f t="shared" si="7"/>
        <v>85647.992353067646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450530.52028985607</v>
      </c>
      <c r="E44" s="164">
        <f t="shared" si="4"/>
        <v>33474.449999999997</v>
      </c>
      <c r="F44" s="163">
        <f t="shared" si="5"/>
        <v>417056.07028985606</v>
      </c>
      <c r="G44" s="165">
        <f t="shared" si="6"/>
        <v>81910.348031529313</v>
      </c>
      <c r="H44" s="147">
        <f t="shared" si="7"/>
        <v>81910.348031529313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417056.07028985606</v>
      </c>
      <c r="E45" s="164">
        <f t="shared" si="4"/>
        <v>33474.449999999997</v>
      </c>
      <c r="F45" s="163">
        <f t="shared" si="5"/>
        <v>383581.62028985604</v>
      </c>
      <c r="G45" s="165">
        <f t="shared" si="6"/>
        <v>78172.703709991009</v>
      </c>
      <c r="H45" s="147">
        <f t="shared" si="7"/>
        <v>78172.703709991009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383581.62028985604</v>
      </c>
      <c r="E46" s="164">
        <f t="shared" si="4"/>
        <v>33474.449999999997</v>
      </c>
      <c r="F46" s="163">
        <f t="shared" si="5"/>
        <v>350107.17028985603</v>
      </c>
      <c r="G46" s="165">
        <f t="shared" si="6"/>
        <v>74435.059388452675</v>
      </c>
      <c r="H46" s="147">
        <f t="shared" si="7"/>
        <v>74435.059388452675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350107.17028985603</v>
      </c>
      <c r="E47" s="164">
        <f t="shared" si="4"/>
        <v>33474.449999999997</v>
      </c>
      <c r="F47" s="163">
        <f t="shared" si="5"/>
        <v>316632.72028985602</v>
      </c>
      <c r="G47" s="165">
        <f t="shared" si="6"/>
        <v>70697.415066914356</v>
      </c>
      <c r="H47" s="147">
        <f t="shared" si="7"/>
        <v>70697.415066914356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316632.72028985602</v>
      </c>
      <c r="E48" s="164">
        <f t="shared" si="4"/>
        <v>33474.449999999997</v>
      </c>
      <c r="F48" s="163">
        <f t="shared" si="5"/>
        <v>283158.27028985601</v>
      </c>
      <c r="G48" s="165">
        <f t="shared" si="6"/>
        <v>66959.770745376038</v>
      </c>
      <c r="H48" s="147">
        <f t="shared" si="7"/>
        <v>66959.770745376038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283158.27028985601</v>
      </c>
      <c r="E49" s="164">
        <f t="shared" si="4"/>
        <v>33474.449999999997</v>
      </c>
      <c r="F49" s="163">
        <f t="shared" si="5"/>
        <v>249683.820289856</v>
      </c>
      <c r="G49" s="165">
        <f t="shared" si="6"/>
        <v>63222.126423837712</v>
      </c>
      <c r="H49" s="147">
        <f t="shared" si="7"/>
        <v>63222.126423837712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249683.820289856</v>
      </c>
      <c r="E50" s="164">
        <f t="shared" si="4"/>
        <v>33474.449999999997</v>
      </c>
      <c r="F50" s="163">
        <f t="shared" si="5"/>
        <v>216209.37028985599</v>
      </c>
      <c r="G50" s="165">
        <f t="shared" si="6"/>
        <v>59484.482102299386</v>
      </c>
      <c r="H50" s="147">
        <f t="shared" si="7"/>
        <v>59484.482102299386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216209.37028985599</v>
      </c>
      <c r="E51" s="164">
        <f t="shared" si="4"/>
        <v>33474.449999999997</v>
      </c>
      <c r="F51" s="163">
        <f t="shared" si="5"/>
        <v>182734.92028985597</v>
      </c>
      <c r="G51" s="165">
        <f t="shared" si="6"/>
        <v>55746.837780761067</v>
      </c>
      <c r="H51" s="147">
        <f t="shared" si="7"/>
        <v>55746.837780761067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182734.92028985597</v>
      </c>
      <c r="E52" s="164">
        <f t="shared" si="4"/>
        <v>33474.449999999997</v>
      </c>
      <c r="F52" s="163">
        <f t="shared" si="5"/>
        <v>149260.47028985596</v>
      </c>
      <c r="G52" s="165">
        <f t="shared" si="6"/>
        <v>52009.193459222741</v>
      </c>
      <c r="H52" s="147">
        <f t="shared" si="7"/>
        <v>52009.193459222741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149260.47028985596</v>
      </c>
      <c r="E53" s="164">
        <f t="shared" si="4"/>
        <v>33474.449999999997</v>
      </c>
      <c r="F53" s="163">
        <f t="shared" si="5"/>
        <v>115786.02028985597</v>
      </c>
      <c r="G53" s="165">
        <f t="shared" si="6"/>
        <v>48271.549137684415</v>
      </c>
      <c r="H53" s="147">
        <f t="shared" si="7"/>
        <v>48271.549137684415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115786.02028985597</v>
      </c>
      <c r="E54" s="164">
        <f t="shared" si="4"/>
        <v>33474.449999999997</v>
      </c>
      <c r="F54" s="163">
        <f t="shared" si="5"/>
        <v>82311.570289855968</v>
      </c>
      <c r="G54" s="165">
        <f t="shared" si="6"/>
        <v>44533.904816146096</v>
      </c>
      <c r="H54" s="147">
        <f t="shared" si="7"/>
        <v>44533.904816146096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82311.570289855968</v>
      </c>
      <c r="E55" s="164">
        <f t="shared" si="4"/>
        <v>33474.449999999997</v>
      </c>
      <c r="F55" s="163">
        <f t="shared" si="5"/>
        <v>48837.120289855971</v>
      </c>
      <c r="G55" s="165">
        <f t="shared" si="6"/>
        <v>40796.260494607777</v>
      </c>
      <c r="H55" s="147">
        <f t="shared" si="7"/>
        <v>40796.260494607777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48837.120289855971</v>
      </c>
      <c r="E56" s="164">
        <f t="shared" si="4"/>
        <v>33474.449999999997</v>
      </c>
      <c r="F56" s="163">
        <f t="shared" si="5"/>
        <v>15362.670289855974</v>
      </c>
      <c r="G56" s="165">
        <f t="shared" si="6"/>
        <v>37058.616173069451</v>
      </c>
      <c r="H56" s="147">
        <f t="shared" si="7"/>
        <v>37058.616173069451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15362.670289855974</v>
      </c>
      <c r="E57" s="164">
        <f t="shared" si="4"/>
        <v>15362.670289855974</v>
      </c>
      <c r="F57" s="163">
        <f t="shared" si="5"/>
        <v>0</v>
      </c>
      <c r="G57" s="165">
        <f t="shared" si="6"/>
        <v>16220.342296006122</v>
      </c>
      <c r="H57" s="147">
        <f t="shared" si="7"/>
        <v>16220.342296006122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1338978</v>
      </c>
      <c r="F73" s="115"/>
      <c r="G73" s="115">
        <f>SUM(G17:G72)</f>
        <v>4343366.8213445973</v>
      </c>
      <c r="H73" s="115">
        <f>SUM(H17:H72)</f>
        <v>4343366.8213445973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19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105641.64744568808</v>
      </c>
      <c r="N87" s="202">
        <f>IF(J92&lt;D11,0,VLOOKUP(J92,C17:O72,11))</f>
        <v>105641.64744568808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105372.70906867021</v>
      </c>
      <c r="N88" s="204">
        <f>IF(J92&lt;D11,0,VLOOKUP(J92,C99:P154,7))</f>
        <v>105372.70906867021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Valliant-NW Texarkana 345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-268.93837701786833</v>
      </c>
      <c r="N89" s="207">
        <f>+N88-N87</f>
        <v>-268.93837701786833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1338978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29108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158">
        <v>0</v>
      </c>
      <c r="E99" s="165">
        <f>IF(OR(D11=I10,D92&lt;100000),0,J$96/12*(12-D94))</f>
        <v>21831</v>
      </c>
      <c r="F99" s="163">
        <f>IF(D93=C99,+D92-E99,+D99-E99)</f>
        <v>1317147</v>
      </c>
      <c r="G99" s="218">
        <f>+(F99+D99)/2</f>
        <v>658573.5</v>
      </c>
      <c r="H99" s="482">
        <f>+J$94*G99+E99</f>
        <v>105372.70906867021</v>
      </c>
      <c r="I99" s="218">
        <f>+J$95*G99+E99</f>
        <v>105372.70906867021</v>
      </c>
      <c r="J99" s="162">
        <f t="shared" ref="J99:J130" si="9">+I99-H99</f>
        <v>0</v>
      </c>
      <c r="K99" s="162"/>
      <c r="L99" s="334"/>
      <c r="M99" s="161">
        <f t="shared" ref="M99:M130" si="10">IF(L99&lt;&gt;0,+H99-L99,0)</f>
        <v>0</v>
      </c>
      <c r="N99" s="334"/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1317147</v>
      </c>
      <c r="E100" s="164">
        <f>IF(+J$96&lt;F99,J$96,D100)</f>
        <v>29108</v>
      </c>
      <c r="F100" s="163">
        <f>+D100-E100</f>
        <v>1288039</v>
      </c>
      <c r="G100" s="163">
        <f>+(F100+D100)/2</f>
        <v>1302593</v>
      </c>
      <c r="H100" s="333">
        <f t="shared" ref="H100:H154" si="13">+J$94*G100+E100</f>
        <v>194345.20653941639</v>
      </c>
      <c r="I100" s="344">
        <f t="shared" ref="I100:I154" si="14">+J$95*G100+E100</f>
        <v>194345.20653941639</v>
      </c>
      <c r="J100" s="162">
        <f t="shared" si="9"/>
        <v>0</v>
      </c>
      <c r="K100" s="162"/>
      <c r="L100" s="335"/>
      <c r="M100" s="162">
        <f t="shared" si="10"/>
        <v>0</v>
      </c>
      <c r="N100" s="335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1288039</v>
      </c>
      <c r="E101" s="164">
        <f t="shared" ref="E101:E154" si="16">IF(+J$96&lt;F100,J$96,D101)</f>
        <v>29108</v>
      </c>
      <c r="F101" s="163">
        <f t="shared" ref="F101:F154" si="17">+D101-E101</f>
        <v>1258931</v>
      </c>
      <c r="G101" s="163">
        <f t="shared" ref="G101:G154" si="18">+(F101+D101)/2</f>
        <v>1273485</v>
      </c>
      <c r="H101" s="333">
        <f t="shared" si="13"/>
        <v>190652.78334356833</v>
      </c>
      <c r="I101" s="344">
        <f t="shared" si="14"/>
        <v>190652.78334356833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1258931</v>
      </c>
      <c r="E102" s="164">
        <f t="shared" si="16"/>
        <v>29108</v>
      </c>
      <c r="F102" s="163">
        <f t="shared" si="17"/>
        <v>1229823</v>
      </c>
      <c r="G102" s="163">
        <f t="shared" si="18"/>
        <v>1244377</v>
      </c>
      <c r="H102" s="333">
        <f t="shared" si="13"/>
        <v>186960.36014772023</v>
      </c>
      <c r="I102" s="344">
        <f t="shared" si="14"/>
        <v>186960.36014772023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1229823</v>
      </c>
      <c r="E103" s="164">
        <f t="shared" si="16"/>
        <v>29108</v>
      </c>
      <c r="F103" s="163">
        <f t="shared" si="17"/>
        <v>1200715</v>
      </c>
      <c r="G103" s="163">
        <f t="shared" si="18"/>
        <v>1215269</v>
      </c>
      <c r="H103" s="333">
        <f t="shared" si="13"/>
        <v>183267.93695187217</v>
      </c>
      <c r="I103" s="344">
        <f t="shared" si="14"/>
        <v>183267.93695187217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1200715</v>
      </c>
      <c r="E104" s="164">
        <f t="shared" si="16"/>
        <v>29108</v>
      </c>
      <c r="F104" s="163">
        <f t="shared" si="17"/>
        <v>1171607</v>
      </c>
      <c r="G104" s="163">
        <f t="shared" si="18"/>
        <v>1186161</v>
      </c>
      <c r="H104" s="333">
        <f t="shared" si="13"/>
        <v>179575.5137560241</v>
      </c>
      <c r="I104" s="344">
        <f t="shared" si="14"/>
        <v>179575.5137560241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1171607</v>
      </c>
      <c r="E105" s="164">
        <f t="shared" si="16"/>
        <v>29108</v>
      </c>
      <c r="F105" s="163">
        <f t="shared" si="17"/>
        <v>1142499</v>
      </c>
      <c r="G105" s="163">
        <f t="shared" si="18"/>
        <v>1157053</v>
      </c>
      <c r="H105" s="333">
        <f t="shared" si="13"/>
        <v>175883.090560176</v>
      </c>
      <c r="I105" s="344">
        <f t="shared" si="14"/>
        <v>175883.090560176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1142499</v>
      </c>
      <c r="E106" s="164">
        <f t="shared" si="16"/>
        <v>29108</v>
      </c>
      <c r="F106" s="163">
        <f t="shared" si="17"/>
        <v>1113391</v>
      </c>
      <c r="G106" s="163">
        <f t="shared" si="18"/>
        <v>1127945</v>
      </c>
      <c r="H106" s="333">
        <f t="shared" si="13"/>
        <v>172190.66736432794</v>
      </c>
      <c r="I106" s="344">
        <f t="shared" si="14"/>
        <v>172190.66736432794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1113391</v>
      </c>
      <c r="E107" s="164">
        <f t="shared" si="16"/>
        <v>29108</v>
      </c>
      <c r="F107" s="163">
        <f t="shared" si="17"/>
        <v>1084283</v>
      </c>
      <c r="G107" s="163">
        <f t="shared" si="18"/>
        <v>1098837</v>
      </c>
      <c r="H107" s="333">
        <f t="shared" si="13"/>
        <v>168498.24416847987</v>
      </c>
      <c r="I107" s="344">
        <f t="shared" si="14"/>
        <v>168498.24416847987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1084283</v>
      </c>
      <c r="E108" s="164">
        <f t="shared" si="16"/>
        <v>29108</v>
      </c>
      <c r="F108" s="163">
        <f t="shared" si="17"/>
        <v>1055175</v>
      </c>
      <c r="G108" s="163">
        <f t="shared" si="18"/>
        <v>1069729</v>
      </c>
      <c r="H108" s="333">
        <f t="shared" si="13"/>
        <v>164805.82097263177</v>
      </c>
      <c r="I108" s="344">
        <f t="shared" si="14"/>
        <v>164805.82097263177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1055175</v>
      </c>
      <c r="E109" s="164">
        <f t="shared" si="16"/>
        <v>29108</v>
      </c>
      <c r="F109" s="163">
        <f t="shared" si="17"/>
        <v>1026067</v>
      </c>
      <c r="G109" s="163">
        <f t="shared" si="18"/>
        <v>1040621</v>
      </c>
      <c r="H109" s="333">
        <f t="shared" si="13"/>
        <v>161113.39777678371</v>
      </c>
      <c r="I109" s="344">
        <f t="shared" si="14"/>
        <v>161113.39777678371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1026067</v>
      </c>
      <c r="E110" s="164">
        <f t="shared" si="16"/>
        <v>29108</v>
      </c>
      <c r="F110" s="163">
        <f t="shared" si="17"/>
        <v>996959</v>
      </c>
      <c r="G110" s="163">
        <f t="shared" si="18"/>
        <v>1011513</v>
      </c>
      <c r="H110" s="333">
        <f t="shared" si="13"/>
        <v>157420.97458093564</v>
      </c>
      <c r="I110" s="344">
        <f t="shared" si="14"/>
        <v>157420.97458093564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996959</v>
      </c>
      <c r="E111" s="164">
        <f t="shared" si="16"/>
        <v>29108</v>
      </c>
      <c r="F111" s="163">
        <f t="shared" si="17"/>
        <v>967851</v>
      </c>
      <c r="G111" s="163">
        <f t="shared" si="18"/>
        <v>982405</v>
      </c>
      <c r="H111" s="333">
        <f t="shared" si="13"/>
        <v>153728.55138508754</v>
      </c>
      <c r="I111" s="344">
        <f t="shared" si="14"/>
        <v>153728.55138508754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967851</v>
      </c>
      <c r="E112" s="164">
        <f t="shared" si="16"/>
        <v>29108</v>
      </c>
      <c r="F112" s="163">
        <f t="shared" si="17"/>
        <v>938743</v>
      </c>
      <c r="G112" s="163">
        <f t="shared" si="18"/>
        <v>953297</v>
      </c>
      <c r="H112" s="333">
        <f t="shared" si="13"/>
        <v>150036.12818923948</v>
      </c>
      <c r="I112" s="344">
        <f t="shared" si="14"/>
        <v>150036.12818923948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938743</v>
      </c>
      <c r="E113" s="164">
        <f t="shared" si="16"/>
        <v>29108</v>
      </c>
      <c r="F113" s="163">
        <f t="shared" si="17"/>
        <v>909635</v>
      </c>
      <c r="G113" s="163">
        <f t="shared" si="18"/>
        <v>924189</v>
      </c>
      <c r="H113" s="333">
        <f t="shared" si="13"/>
        <v>146343.70499339141</v>
      </c>
      <c r="I113" s="344">
        <f t="shared" si="14"/>
        <v>146343.70499339141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909635</v>
      </c>
      <c r="E114" s="164">
        <f t="shared" si="16"/>
        <v>29108</v>
      </c>
      <c r="F114" s="163">
        <f t="shared" si="17"/>
        <v>880527</v>
      </c>
      <c r="G114" s="163">
        <f t="shared" si="18"/>
        <v>895081</v>
      </c>
      <c r="H114" s="333">
        <f t="shared" si="13"/>
        <v>142651.28179754334</v>
      </c>
      <c r="I114" s="344">
        <f t="shared" si="14"/>
        <v>142651.28179754334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880527</v>
      </c>
      <c r="E115" s="164">
        <f t="shared" si="16"/>
        <v>29108</v>
      </c>
      <c r="F115" s="163">
        <f t="shared" si="17"/>
        <v>851419</v>
      </c>
      <c r="G115" s="163">
        <f t="shared" si="18"/>
        <v>865973</v>
      </c>
      <c r="H115" s="333">
        <f t="shared" si="13"/>
        <v>138958.85860169528</v>
      </c>
      <c r="I115" s="344">
        <f t="shared" si="14"/>
        <v>138958.85860169528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851419</v>
      </c>
      <c r="E116" s="164">
        <f t="shared" si="16"/>
        <v>29108</v>
      </c>
      <c r="F116" s="163">
        <f t="shared" si="17"/>
        <v>822311</v>
      </c>
      <c r="G116" s="163">
        <f t="shared" si="18"/>
        <v>836865</v>
      </c>
      <c r="H116" s="333">
        <f t="shared" si="13"/>
        <v>135266.43540584718</v>
      </c>
      <c r="I116" s="344">
        <f t="shared" si="14"/>
        <v>135266.43540584718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822311</v>
      </c>
      <c r="E117" s="164">
        <f t="shared" si="16"/>
        <v>29108</v>
      </c>
      <c r="F117" s="163">
        <f t="shared" si="17"/>
        <v>793203</v>
      </c>
      <c r="G117" s="163">
        <f t="shared" si="18"/>
        <v>807757</v>
      </c>
      <c r="H117" s="333">
        <f t="shared" si="13"/>
        <v>131574.01220999908</v>
      </c>
      <c r="I117" s="344">
        <f t="shared" si="14"/>
        <v>131574.01220999908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793203</v>
      </c>
      <c r="E118" s="164">
        <f t="shared" si="16"/>
        <v>29108</v>
      </c>
      <c r="F118" s="163">
        <f t="shared" si="17"/>
        <v>764095</v>
      </c>
      <c r="G118" s="163">
        <f t="shared" si="18"/>
        <v>778649</v>
      </c>
      <c r="H118" s="333">
        <f t="shared" si="13"/>
        <v>127881.58901415103</v>
      </c>
      <c r="I118" s="344">
        <f t="shared" si="14"/>
        <v>127881.58901415103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764095</v>
      </c>
      <c r="E119" s="164">
        <f t="shared" si="16"/>
        <v>29108</v>
      </c>
      <c r="F119" s="163">
        <f t="shared" si="17"/>
        <v>734987</v>
      </c>
      <c r="G119" s="163">
        <f t="shared" si="18"/>
        <v>749541</v>
      </c>
      <c r="H119" s="333">
        <f t="shared" si="13"/>
        <v>124189.16581830295</v>
      </c>
      <c r="I119" s="344">
        <f t="shared" si="14"/>
        <v>124189.16581830295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734987</v>
      </c>
      <c r="E120" s="164">
        <f t="shared" si="16"/>
        <v>29108</v>
      </c>
      <c r="F120" s="163">
        <f t="shared" si="17"/>
        <v>705879</v>
      </c>
      <c r="G120" s="163">
        <f t="shared" si="18"/>
        <v>720433</v>
      </c>
      <c r="H120" s="333">
        <f t="shared" si="13"/>
        <v>120496.74262245488</v>
      </c>
      <c r="I120" s="344">
        <f t="shared" si="14"/>
        <v>120496.74262245488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705879</v>
      </c>
      <c r="E121" s="164">
        <f t="shared" si="16"/>
        <v>29108</v>
      </c>
      <c r="F121" s="163">
        <f t="shared" si="17"/>
        <v>676771</v>
      </c>
      <c r="G121" s="163">
        <f t="shared" si="18"/>
        <v>691325</v>
      </c>
      <c r="H121" s="333">
        <f t="shared" si="13"/>
        <v>116804.3194266068</v>
      </c>
      <c r="I121" s="344">
        <f t="shared" si="14"/>
        <v>116804.3194266068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676771</v>
      </c>
      <c r="E122" s="164">
        <f t="shared" si="16"/>
        <v>29108</v>
      </c>
      <c r="F122" s="163">
        <f t="shared" si="17"/>
        <v>647663</v>
      </c>
      <c r="G122" s="163">
        <f t="shared" si="18"/>
        <v>662217</v>
      </c>
      <c r="H122" s="333">
        <f t="shared" si="13"/>
        <v>113111.89623075872</v>
      </c>
      <c r="I122" s="344">
        <f t="shared" si="14"/>
        <v>113111.89623075872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647663</v>
      </c>
      <c r="E123" s="164">
        <f t="shared" si="16"/>
        <v>29108</v>
      </c>
      <c r="F123" s="163">
        <f t="shared" si="17"/>
        <v>618555</v>
      </c>
      <c r="G123" s="163">
        <f t="shared" si="18"/>
        <v>633109</v>
      </c>
      <c r="H123" s="333">
        <f t="shared" si="13"/>
        <v>109419.47303491065</v>
      </c>
      <c r="I123" s="344">
        <f t="shared" si="14"/>
        <v>109419.47303491065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618555</v>
      </c>
      <c r="E124" s="164">
        <f t="shared" si="16"/>
        <v>29108</v>
      </c>
      <c r="F124" s="163">
        <f t="shared" si="17"/>
        <v>589447</v>
      </c>
      <c r="G124" s="163">
        <f t="shared" si="18"/>
        <v>604001</v>
      </c>
      <c r="H124" s="333">
        <f t="shared" si="13"/>
        <v>105727.04983906257</v>
      </c>
      <c r="I124" s="344">
        <f t="shared" si="14"/>
        <v>105727.04983906257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589447</v>
      </c>
      <c r="E125" s="164">
        <f t="shared" si="16"/>
        <v>29108</v>
      </c>
      <c r="F125" s="163">
        <f t="shared" si="17"/>
        <v>560339</v>
      </c>
      <c r="G125" s="163">
        <f t="shared" si="18"/>
        <v>574893</v>
      </c>
      <c r="H125" s="333">
        <f t="shared" si="13"/>
        <v>102034.62664321451</v>
      </c>
      <c r="I125" s="344">
        <f t="shared" si="14"/>
        <v>102034.62664321451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560339</v>
      </c>
      <c r="E126" s="164">
        <f t="shared" si="16"/>
        <v>29108</v>
      </c>
      <c r="F126" s="163">
        <f t="shared" si="17"/>
        <v>531231</v>
      </c>
      <c r="G126" s="163">
        <f t="shared" si="18"/>
        <v>545785</v>
      </c>
      <c r="H126" s="333">
        <f t="shared" si="13"/>
        <v>98342.203447366424</v>
      </c>
      <c r="I126" s="344">
        <f t="shared" si="14"/>
        <v>98342.203447366424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531231</v>
      </c>
      <c r="E127" s="164">
        <f t="shared" si="16"/>
        <v>29108</v>
      </c>
      <c r="F127" s="163">
        <f t="shared" si="17"/>
        <v>502123</v>
      </c>
      <c r="G127" s="163">
        <f t="shared" si="18"/>
        <v>516677</v>
      </c>
      <c r="H127" s="333">
        <f t="shared" si="13"/>
        <v>94649.780251518343</v>
      </c>
      <c r="I127" s="344">
        <f t="shared" si="14"/>
        <v>94649.780251518343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502123</v>
      </c>
      <c r="E128" s="164">
        <f t="shared" si="16"/>
        <v>29108</v>
      </c>
      <c r="F128" s="163">
        <f t="shared" si="17"/>
        <v>473015</v>
      </c>
      <c r="G128" s="163">
        <f t="shared" si="18"/>
        <v>487569</v>
      </c>
      <c r="H128" s="333">
        <f t="shared" si="13"/>
        <v>90957.357055670276</v>
      </c>
      <c r="I128" s="344">
        <f t="shared" si="14"/>
        <v>90957.357055670276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473015</v>
      </c>
      <c r="E129" s="164">
        <f t="shared" si="16"/>
        <v>29108</v>
      </c>
      <c r="F129" s="163">
        <f t="shared" si="17"/>
        <v>443907</v>
      </c>
      <c r="G129" s="163">
        <f t="shared" si="18"/>
        <v>458461</v>
      </c>
      <c r="H129" s="333">
        <f t="shared" si="13"/>
        <v>87264.933859822195</v>
      </c>
      <c r="I129" s="344">
        <f t="shared" si="14"/>
        <v>87264.933859822195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443907</v>
      </c>
      <c r="E130" s="164">
        <f t="shared" si="16"/>
        <v>29108</v>
      </c>
      <c r="F130" s="163">
        <f t="shared" si="17"/>
        <v>414799</v>
      </c>
      <c r="G130" s="163">
        <f t="shared" si="18"/>
        <v>429353</v>
      </c>
      <c r="H130" s="333">
        <f t="shared" si="13"/>
        <v>83572.510663974128</v>
      </c>
      <c r="I130" s="344">
        <f t="shared" si="14"/>
        <v>83572.510663974128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414799</v>
      </c>
      <c r="E131" s="164">
        <f t="shared" si="16"/>
        <v>29108</v>
      </c>
      <c r="F131" s="163">
        <f t="shared" si="17"/>
        <v>385691</v>
      </c>
      <c r="G131" s="163">
        <f t="shared" si="18"/>
        <v>400245</v>
      </c>
      <c r="H131" s="333">
        <f t="shared" si="13"/>
        <v>79880.087468126047</v>
      </c>
      <c r="I131" s="344">
        <f t="shared" si="14"/>
        <v>79880.087468126047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385691</v>
      </c>
      <c r="E132" s="164">
        <f t="shared" si="16"/>
        <v>29108</v>
      </c>
      <c r="F132" s="163">
        <f t="shared" si="17"/>
        <v>356583</v>
      </c>
      <c r="G132" s="163">
        <f t="shared" si="18"/>
        <v>371137</v>
      </c>
      <c r="H132" s="333">
        <f t="shared" si="13"/>
        <v>76187.664272277965</v>
      </c>
      <c r="I132" s="344">
        <f t="shared" si="14"/>
        <v>76187.664272277965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356583</v>
      </c>
      <c r="E133" s="164">
        <f t="shared" si="16"/>
        <v>29108</v>
      </c>
      <c r="F133" s="163">
        <f t="shared" si="17"/>
        <v>327475</v>
      </c>
      <c r="G133" s="163">
        <f t="shared" si="18"/>
        <v>342029</v>
      </c>
      <c r="H133" s="333">
        <f t="shared" si="13"/>
        <v>72495.241076429898</v>
      </c>
      <c r="I133" s="344">
        <f t="shared" si="14"/>
        <v>72495.241076429898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327475</v>
      </c>
      <c r="E134" s="164">
        <f t="shared" si="16"/>
        <v>29108</v>
      </c>
      <c r="F134" s="163">
        <f t="shared" si="17"/>
        <v>298367</v>
      </c>
      <c r="G134" s="163">
        <f t="shared" si="18"/>
        <v>312921</v>
      </c>
      <c r="H134" s="333">
        <f t="shared" si="13"/>
        <v>68802.817880581832</v>
      </c>
      <c r="I134" s="344">
        <f t="shared" si="14"/>
        <v>68802.817880581832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298367</v>
      </c>
      <c r="E135" s="164">
        <f t="shared" si="16"/>
        <v>29108</v>
      </c>
      <c r="F135" s="163">
        <f t="shared" si="17"/>
        <v>269259</v>
      </c>
      <c r="G135" s="163">
        <f t="shared" si="18"/>
        <v>283813</v>
      </c>
      <c r="H135" s="333">
        <f t="shared" si="13"/>
        <v>65110.394684733743</v>
      </c>
      <c r="I135" s="344">
        <f t="shared" si="14"/>
        <v>65110.394684733743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269259</v>
      </c>
      <c r="E136" s="164">
        <f t="shared" si="16"/>
        <v>29108</v>
      </c>
      <c r="F136" s="163">
        <f t="shared" si="17"/>
        <v>240151</v>
      </c>
      <c r="G136" s="163">
        <f t="shared" si="18"/>
        <v>254705</v>
      </c>
      <c r="H136" s="333">
        <f t="shared" si="13"/>
        <v>61417.971488885669</v>
      </c>
      <c r="I136" s="344">
        <f t="shared" si="14"/>
        <v>61417.971488885669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240151</v>
      </c>
      <c r="E137" s="164">
        <f t="shared" si="16"/>
        <v>29108</v>
      </c>
      <c r="F137" s="163">
        <f t="shared" si="17"/>
        <v>211043</v>
      </c>
      <c r="G137" s="163">
        <f t="shared" si="18"/>
        <v>225597</v>
      </c>
      <c r="H137" s="333">
        <f t="shared" si="13"/>
        <v>57725.548293037595</v>
      </c>
      <c r="I137" s="344">
        <f t="shared" si="14"/>
        <v>57725.548293037595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211043</v>
      </c>
      <c r="E138" s="164">
        <f t="shared" si="16"/>
        <v>29108</v>
      </c>
      <c r="F138" s="163">
        <f t="shared" si="17"/>
        <v>181935</v>
      </c>
      <c r="G138" s="163">
        <f t="shared" si="18"/>
        <v>196489</v>
      </c>
      <c r="H138" s="333">
        <f t="shared" si="13"/>
        <v>54033.125097189521</v>
      </c>
      <c r="I138" s="344">
        <f t="shared" si="14"/>
        <v>54033.125097189521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181935</v>
      </c>
      <c r="E139" s="164">
        <f t="shared" si="16"/>
        <v>29108</v>
      </c>
      <c r="F139" s="163">
        <f t="shared" si="17"/>
        <v>152827</v>
      </c>
      <c r="G139" s="163">
        <f t="shared" si="18"/>
        <v>167381</v>
      </c>
      <c r="H139" s="333">
        <f t="shared" si="13"/>
        <v>50340.701901341439</v>
      </c>
      <c r="I139" s="344">
        <f t="shared" si="14"/>
        <v>50340.701901341439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152827</v>
      </c>
      <c r="E140" s="164">
        <f t="shared" si="16"/>
        <v>29108</v>
      </c>
      <c r="F140" s="163">
        <f t="shared" si="17"/>
        <v>123719</v>
      </c>
      <c r="G140" s="163">
        <f t="shared" si="18"/>
        <v>138273</v>
      </c>
      <c r="H140" s="333">
        <f t="shared" si="13"/>
        <v>46648.278705493372</v>
      </c>
      <c r="I140" s="344">
        <f t="shared" si="14"/>
        <v>46648.278705493372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123719</v>
      </c>
      <c r="E141" s="164">
        <f t="shared" si="16"/>
        <v>29108</v>
      </c>
      <c r="F141" s="163">
        <f t="shared" si="17"/>
        <v>94611</v>
      </c>
      <c r="G141" s="163">
        <f t="shared" si="18"/>
        <v>109165</v>
      </c>
      <c r="H141" s="333">
        <f t="shared" si="13"/>
        <v>42955.855509645291</v>
      </c>
      <c r="I141" s="344">
        <f t="shared" si="14"/>
        <v>42955.855509645291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94611</v>
      </c>
      <c r="E142" s="164">
        <f t="shared" si="16"/>
        <v>29108</v>
      </c>
      <c r="F142" s="163">
        <f t="shared" si="17"/>
        <v>65503</v>
      </c>
      <c r="G142" s="163">
        <f t="shared" si="18"/>
        <v>80057</v>
      </c>
      <c r="H142" s="333">
        <f t="shared" si="13"/>
        <v>39263.432313797217</v>
      </c>
      <c r="I142" s="344">
        <f t="shared" si="14"/>
        <v>39263.432313797217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65503</v>
      </c>
      <c r="E143" s="164">
        <f t="shared" si="16"/>
        <v>29108</v>
      </c>
      <c r="F143" s="163">
        <f t="shared" si="17"/>
        <v>36395</v>
      </c>
      <c r="G143" s="163">
        <f t="shared" si="18"/>
        <v>50949</v>
      </c>
      <c r="H143" s="333">
        <f t="shared" si="13"/>
        <v>35571.009117949143</v>
      </c>
      <c r="I143" s="344">
        <f t="shared" si="14"/>
        <v>35571.009117949143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36395</v>
      </c>
      <c r="E144" s="164">
        <f t="shared" si="16"/>
        <v>29108</v>
      </c>
      <c r="F144" s="163">
        <f t="shared" si="17"/>
        <v>7287</v>
      </c>
      <c r="G144" s="163">
        <f t="shared" si="18"/>
        <v>21841</v>
      </c>
      <c r="H144" s="333">
        <f t="shared" si="13"/>
        <v>31878.585922101065</v>
      </c>
      <c r="I144" s="344">
        <f t="shared" si="14"/>
        <v>31878.585922101065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7287</v>
      </c>
      <c r="E145" s="164">
        <f t="shared" si="16"/>
        <v>7287</v>
      </c>
      <c r="F145" s="163">
        <f t="shared" si="17"/>
        <v>0</v>
      </c>
      <c r="G145" s="163">
        <f t="shared" si="18"/>
        <v>3643.5</v>
      </c>
      <c r="H145" s="333">
        <f t="shared" si="13"/>
        <v>7749.187162088514</v>
      </c>
      <c r="I145" s="344">
        <f t="shared" si="14"/>
        <v>7749.187162088514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3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3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3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3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3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3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3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3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3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1338978</v>
      </c>
      <c r="F155" s="115"/>
      <c r="G155" s="115"/>
      <c r="H155" s="115">
        <f>SUM(H99:H154)</f>
        <v>5203157.2266149018</v>
      </c>
      <c r="I155" s="115">
        <f>SUM(I99:I154)</f>
        <v>5203157.2266149018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topLeftCell="A64" zoomScale="78" zoomScaleNormal="100" zoomScaleSheetLayoutView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20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153018.85490841107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153018.85490841107</v>
      </c>
      <c r="O6" s="1"/>
      <c r="P6" s="1"/>
    </row>
    <row r="7" spans="1:16" ht="13.5" thickBot="1">
      <c r="C7" s="127" t="s">
        <v>41</v>
      </c>
      <c r="D7" s="227" t="s">
        <v>273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1140000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28500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v>2017</v>
      </c>
      <c r="D17" s="466">
        <v>0</v>
      </c>
      <c r="E17" s="466">
        <v>0</v>
      </c>
      <c r="F17" s="467">
        <v>483000</v>
      </c>
      <c r="G17" s="469">
        <v>30733.448109554683</v>
      </c>
      <c r="H17" s="468">
        <v>30733.448109554683</v>
      </c>
      <c r="I17" s="160">
        <f t="shared" ref="I17:I72" si="0">H17-G17</f>
        <v>0</v>
      </c>
      <c r="J17" s="160"/>
      <c r="K17" s="337">
        <f>+G17</f>
        <v>30733.448109554683</v>
      </c>
      <c r="L17" s="161">
        <f t="shared" ref="L17:L72" si="1">IF(K17&lt;&gt;0,+G17-K17,0)</f>
        <v>0</v>
      </c>
      <c r="M17" s="337">
        <f>+H17</f>
        <v>30733.448109554683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20">
        <f>+F17</f>
        <v>483000</v>
      </c>
      <c r="E18" s="421">
        <v>10555.555555555555</v>
      </c>
      <c r="F18" s="420">
        <v>1140000</v>
      </c>
      <c r="G18" s="421">
        <v>78818.151758984837</v>
      </c>
      <c r="H18" s="425">
        <v>78818.151758984837</v>
      </c>
      <c r="I18" s="160">
        <f t="shared" si="0"/>
        <v>0</v>
      </c>
      <c r="J18" s="160"/>
      <c r="K18" s="338">
        <f>G18</f>
        <v>78818.151758984837</v>
      </c>
      <c r="L18" s="440">
        <f>IF(K18&lt;&gt;0,+G18-K18,0)</f>
        <v>0</v>
      </c>
      <c r="M18" s="338">
        <f>H18</f>
        <v>78818.151758984837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2019</v>
      </c>
      <c r="D19" s="166">
        <f>IF(F18+SUM(E$17:E18)=D$10,F18,D$10-SUM(E$17:E18))</f>
        <v>1129444.4444444445</v>
      </c>
      <c r="E19" s="164">
        <f t="shared" ref="E19:E72" si="4">IF(+I$14&lt;F18,I$14,D19)</f>
        <v>28500</v>
      </c>
      <c r="F19" s="163">
        <f t="shared" ref="F19:F72" si="5">+D19-E19</f>
        <v>1100944.4444444445</v>
      </c>
      <c r="G19" s="165">
        <f t="shared" ref="G19:G72" si="6">(D19+F19)/2*I$12+E19</f>
        <v>153018.85490841107</v>
      </c>
      <c r="H19" s="147">
        <f t="shared" ref="H19:H72" si="7">+(D19+F19)/2*I$13+E19</f>
        <v>153018.85490841107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1100944.4444444445</v>
      </c>
      <c r="E20" s="164">
        <f t="shared" si="4"/>
        <v>28500</v>
      </c>
      <c r="F20" s="163">
        <f t="shared" si="5"/>
        <v>1072444.4444444445</v>
      </c>
      <c r="G20" s="165">
        <f t="shared" si="6"/>
        <v>149836.64091643086</v>
      </c>
      <c r="H20" s="147">
        <f t="shared" si="7"/>
        <v>149836.64091643086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1072444.4444444445</v>
      </c>
      <c r="E21" s="164">
        <f t="shared" si="4"/>
        <v>28500</v>
      </c>
      <c r="F21" s="163">
        <f t="shared" si="5"/>
        <v>1043944.4444444445</v>
      </c>
      <c r="G21" s="165">
        <f t="shared" si="6"/>
        <v>146654.42692445064</v>
      </c>
      <c r="H21" s="147">
        <f t="shared" si="7"/>
        <v>146654.42692445064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1043944.4444444445</v>
      </c>
      <c r="E22" s="164">
        <f t="shared" si="4"/>
        <v>28500</v>
      </c>
      <c r="F22" s="163">
        <f t="shared" si="5"/>
        <v>1015444.4444444445</v>
      </c>
      <c r="G22" s="165">
        <f t="shared" si="6"/>
        <v>143472.21293247043</v>
      </c>
      <c r="H22" s="147">
        <f t="shared" si="7"/>
        <v>143472.21293247043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1015444.4444444445</v>
      </c>
      <c r="E23" s="164">
        <f t="shared" si="4"/>
        <v>28500</v>
      </c>
      <c r="F23" s="163">
        <f t="shared" si="5"/>
        <v>986944.4444444445</v>
      </c>
      <c r="G23" s="165">
        <f t="shared" si="6"/>
        <v>140289.99894049022</v>
      </c>
      <c r="H23" s="147">
        <f t="shared" si="7"/>
        <v>140289.99894049022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986944.4444444445</v>
      </c>
      <c r="E24" s="164">
        <f t="shared" si="4"/>
        <v>28500</v>
      </c>
      <c r="F24" s="163">
        <f t="shared" si="5"/>
        <v>958444.4444444445</v>
      </c>
      <c r="G24" s="165">
        <f t="shared" si="6"/>
        <v>137107.78494851</v>
      </c>
      <c r="H24" s="147">
        <f t="shared" si="7"/>
        <v>137107.78494851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958444.4444444445</v>
      </c>
      <c r="E25" s="164">
        <f t="shared" si="4"/>
        <v>28500</v>
      </c>
      <c r="F25" s="163">
        <f t="shared" si="5"/>
        <v>929944.4444444445</v>
      </c>
      <c r="G25" s="165">
        <f t="shared" si="6"/>
        <v>133925.57095652976</v>
      </c>
      <c r="H25" s="147">
        <f t="shared" si="7"/>
        <v>133925.57095652976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929944.4444444445</v>
      </c>
      <c r="E26" s="164">
        <f t="shared" si="4"/>
        <v>28500</v>
      </c>
      <c r="F26" s="163">
        <f t="shared" si="5"/>
        <v>901444.4444444445</v>
      </c>
      <c r="G26" s="165">
        <f t="shared" si="6"/>
        <v>130743.35696454956</v>
      </c>
      <c r="H26" s="147">
        <f t="shared" si="7"/>
        <v>130743.35696454956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901444.4444444445</v>
      </c>
      <c r="E27" s="164">
        <f t="shared" si="4"/>
        <v>28500</v>
      </c>
      <c r="F27" s="163">
        <f t="shared" si="5"/>
        <v>872944.4444444445</v>
      </c>
      <c r="G27" s="165">
        <f t="shared" si="6"/>
        <v>127561.14297256935</v>
      </c>
      <c r="H27" s="147">
        <f t="shared" si="7"/>
        <v>127561.14297256935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872944.4444444445</v>
      </c>
      <c r="E28" s="164">
        <f t="shared" si="4"/>
        <v>28500</v>
      </c>
      <c r="F28" s="163">
        <f t="shared" si="5"/>
        <v>844444.4444444445</v>
      </c>
      <c r="G28" s="165">
        <f t="shared" si="6"/>
        <v>124378.92898058913</v>
      </c>
      <c r="H28" s="147">
        <f t="shared" si="7"/>
        <v>124378.92898058913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844444.4444444445</v>
      </c>
      <c r="E29" s="164">
        <f t="shared" si="4"/>
        <v>28500</v>
      </c>
      <c r="F29" s="163">
        <f t="shared" si="5"/>
        <v>815944.4444444445</v>
      </c>
      <c r="G29" s="165">
        <f t="shared" si="6"/>
        <v>121196.7149886089</v>
      </c>
      <c r="H29" s="147">
        <f t="shared" si="7"/>
        <v>121196.7149886089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815944.4444444445</v>
      </c>
      <c r="E30" s="164">
        <f t="shared" si="4"/>
        <v>28500</v>
      </c>
      <c r="F30" s="163">
        <f t="shared" si="5"/>
        <v>787444.4444444445</v>
      </c>
      <c r="G30" s="165">
        <f t="shared" si="6"/>
        <v>118014.50099662869</v>
      </c>
      <c r="H30" s="147">
        <f t="shared" si="7"/>
        <v>118014.50099662869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787444.4444444445</v>
      </c>
      <c r="E31" s="164">
        <f t="shared" si="4"/>
        <v>28500</v>
      </c>
      <c r="F31" s="163">
        <f t="shared" si="5"/>
        <v>758944.4444444445</v>
      </c>
      <c r="G31" s="165">
        <f t="shared" si="6"/>
        <v>114832.28700464847</v>
      </c>
      <c r="H31" s="147">
        <f t="shared" si="7"/>
        <v>114832.28700464847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758944.4444444445</v>
      </c>
      <c r="E32" s="164">
        <f t="shared" si="4"/>
        <v>28500</v>
      </c>
      <c r="F32" s="163">
        <f t="shared" si="5"/>
        <v>730444.4444444445</v>
      </c>
      <c r="G32" s="165">
        <f t="shared" si="6"/>
        <v>111650.07301266826</v>
      </c>
      <c r="H32" s="147">
        <f t="shared" si="7"/>
        <v>111650.07301266826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730444.4444444445</v>
      </c>
      <c r="E33" s="164">
        <f t="shared" si="4"/>
        <v>28500</v>
      </c>
      <c r="F33" s="163">
        <f t="shared" si="5"/>
        <v>701944.4444444445</v>
      </c>
      <c r="G33" s="165">
        <f t="shared" si="6"/>
        <v>108467.85902068805</v>
      </c>
      <c r="H33" s="147">
        <f t="shared" si="7"/>
        <v>108467.85902068805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701944.4444444445</v>
      </c>
      <c r="E34" s="164">
        <f t="shared" si="4"/>
        <v>28500</v>
      </c>
      <c r="F34" s="163">
        <f t="shared" si="5"/>
        <v>673444.4444444445</v>
      </c>
      <c r="G34" s="165">
        <f t="shared" si="6"/>
        <v>105285.64502870783</v>
      </c>
      <c r="H34" s="147">
        <f t="shared" si="7"/>
        <v>105285.64502870783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673444.4444444445</v>
      </c>
      <c r="E35" s="164">
        <f t="shared" si="4"/>
        <v>28500</v>
      </c>
      <c r="F35" s="163">
        <f t="shared" si="5"/>
        <v>644944.4444444445</v>
      </c>
      <c r="G35" s="165">
        <f t="shared" si="6"/>
        <v>102103.4310367276</v>
      </c>
      <c r="H35" s="147">
        <f t="shared" si="7"/>
        <v>102103.4310367276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644944.4444444445</v>
      </c>
      <c r="E36" s="164">
        <f t="shared" si="4"/>
        <v>28500</v>
      </c>
      <c r="F36" s="163">
        <f t="shared" si="5"/>
        <v>616444.4444444445</v>
      </c>
      <c r="G36" s="165">
        <f t="shared" si="6"/>
        <v>98921.217044747391</v>
      </c>
      <c r="H36" s="147">
        <f t="shared" si="7"/>
        <v>98921.217044747391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616444.4444444445</v>
      </c>
      <c r="E37" s="164">
        <f t="shared" si="4"/>
        <v>28500</v>
      </c>
      <c r="F37" s="163">
        <f t="shared" si="5"/>
        <v>587944.4444444445</v>
      </c>
      <c r="G37" s="165">
        <f t="shared" si="6"/>
        <v>95739.003052767177</v>
      </c>
      <c r="H37" s="147">
        <f t="shared" si="7"/>
        <v>95739.003052767177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587944.4444444445</v>
      </c>
      <c r="E38" s="164">
        <f t="shared" si="4"/>
        <v>28500</v>
      </c>
      <c r="F38" s="163">
        <f t="shared" si="5"/>
        <v>559444.4444444445</v>
      </c>
      <c r="G38" s="165">
        <f t="shared" si="6"/>
        <v>92556.789060786963</v>
      </c>
      <c r="H38" s="147">
        <f t="shared" si="7"/>
        <v>92556.789060786963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559444.4444444445</v>
      </c>
      <c r="E39" s="164">
        <f t="shared" si="4"/>
        <v>28500</v>
      </c>
      <c r="F39" s="163">
        <f t="shared" si="5"/>
        <v>530944.4444444445</v>
      </c>
      <c r="G39" s="165">
        <f t="shared" si="6"/>
        <v>89374.575068806735</v>
      </c>
      <c r="H39" s="147">
        <f t="shared" si="7"/>
        <v>89374.575068806735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530944.4444444445</v>
      </c>
      <c r="E40" s="164">
        <f t="shared" si="4"/>
        <v>28500</v>
      </c>
      <c r="F40" s="163">
        <f t="shared" si="5"/>
        <v>502444.4444444445</v>
      </c>
      <c r="G40" s="165">
        <f t="shared" si="6"/>
        <v>86192.361076826521</v>
      </c>
      <c r="H40" s="147">
        <f t="shared" si="7"/>
        <v>86192.361076826521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502444.4444444445</v>
      </c>
      <c r="E41" s="164">
        <f t="shared" si="4"/>
        <v>28500</v>
      </c>
      <c r="F41" s="163">
        <f t="shared" si="5"/>
        <v>473944.4444444445</v>
      </c>
      <c r="G41" s="165">
        <f t="shared" si="6"/>
        <v>83010.147084846307</v>
      </c>
      <c r="H41" s="147">
        <f t="shared" si="7"/>
        <v>83010.147084846307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473944.4444444445</v>
      </c>
      <c r="E42" s="164">
        <f t="shared" si="4"/>
        <v>28500</v>
      </c>
      <c r="F42" s="163">
        <f t="shared" si="5"/>
        <v>445444.4444444445</v>
      </c>
      <c r="G42" s="165">
        <f t="shared" si="6"/>
        <v>79827.933092866093</v>
      </c>
      <c r="H42" s="147">
        <f t="shared" si="7"/>
        <v>79827.933092866093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445444.4444444445</v>
      </c>
      <c r="E43" s="164">
        <f t="shared" si="4"/>
        <v>28500</v>
      </c>
      <c r="F43" s="163">
        <f t="shared" si="5"/>
        <v>416944.4444444445</v>
      </c>
      <c r="G43" s="165">
        <f t="shared" si="6"/>
        <v>76645.719100885879</v>
      </c>
      <c r="H43" s="147">
        <f t="shared" si="7"/>
        <v>76645.719100885879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416944.4444444445</v>
      </c>
      <c r="E44" s="164">
        <f t="shared" si="4"/>
        <v>28500</v>
      </c>
      <c r="F44" s="163">
        <f t="shared" si="5"/>
        <v>388444.4444444445</v>
      </c>
      <c r="G44" s="165">
        <f t="shared" si="6"/>
        <v>73463.505108905665</v>
      </c>
      <c r="H44" s="147">
        <f t="shared" si="7"/>
        <v>73463.505108905665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388444.4444444445</v>
      </c>
      <c r="E45" s="164">
        <f t="shared" si="4"/>
        <v>28500</v>
      </c>
      <c r="F45" s="163">
        <f t="shared" si="5"/>
        <v>359944.4444444445</v>
      </c>
      <c r="G45" s="165">
        <f t="shared" si="6"/>
        <v>70281.291116925451</v>
      </c>
      <c r="H45" s="147">
        <f t="shared" si="7"/>
        <v>70281.291116925451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359944.4444444445</v>
      </c>
      <c r="E46" s="164">
        <f t="shared" si="4"/>
        <v>28500</v>
      </c>
      <c r="F46" s="163">
        <f t="shared" si="5"/>
        <v>331444.4444444445</v>
      </c>
      <c r="G46" s="165">
        <f t="shared" si="6"/>
        <v>67099.077124945237</v>
      </c>
      <c r="H46" s="147">
        <f t="shared" si="7"/>
        <v>67099.077124945237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331444.4444444445</v>
      </c>
      <c r="E47" s="164">
        <f t="shared" si="4"/>
        <v>28500</v>
      </c>
      <c r="F47" s="163">
        <f t="shared" si="5"/>
        <v>302944.4444444445</v>
      </c>
      <c r="G47" s="165">
        <f t="shared" si="6"/>
        <v>63916.863132965009</v>
      </c>
      <c r="H47" s="147">
        <f t="shared" si="7"/>
        <v>63916.863132965009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302944.4444444445</v>
      </c>
      <c r="E48" s="164">
        <f t="shared" si="4"/>
        <v>28500</v>
      </c>
      <c r="F48" s="163">
        <f t="shared" si="5"/>
        <v>274444.4444444445</v>
      </c>
      <c r="G48" s="165">
        <f t="shared" si="6"/>
        <v>60734.649140984795</v>
      </c>
      <c r="H48" s="147">
        <f t="shared" si="7"/>
        <v>60734.649140984795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274444.4444444445</v>
      </c>
      <c r="E49" s="164">
        <f t="shared" si="4"/>
        <v>28500</v>
      </c>
      <c r="F49" s="163">
        <f t="shared" si="5"/>
        <v>245944.4444444445</v>
      </c>
      <c r="G49" s="165">
        <f t="shared" si="6"/>
        <v>57552.435149004581</v>
      </c>
      <c r="H49" s="147">
        <f t="shared" si="7"/>
        <v>57552.435149004581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245944.4444444445</v>
      </c>
      <c r="E50" s="164">
        <f t="shared" si="4"/>
        <v>28500</v>
      </c>
      <c r="F50" s="163">
        <f t="shared" si="5"/>
        <v>217444.4444444445</v>
      </c>
      <c r="G50" s="165">
        <f t="shared" si="6"/>
        <v>54370.22115702436</v>
      </c>
      <c r="H50" s="147">
        <f t="shared" si="7"/>
        <v>54370.22115702436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217444.4444444445</v>
      </c>
      <c r="E51" s="164">
        <f t="shared" si="4"/>
        <v>28500</v>
      </c>
      <c r="F51" s="163">
        <f t="shared" si="5"/>
        <v>188944.4444444445</v>
      </c>
      <c r="G51" s="165">
        <f t="shared" si="6"/>
        <v>51188.007165044139</v>
      </c>
      <c r="H51" s="147">
        <f t="shared" si="7"/>
        <v>51188.007165044139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188944.4444444445</v>
      </c>
      <c r="E52" s="164">
        <f t="shared" si="4"/>
        <v>28500</v>
      </c>
      <c r="F52" s="163">
        <f t="shared" si="5"/>
        <v>160444.4444444445</v>
      </c>
      <c r="G52" s="165">
        <f t="shared" si="6"/>
        <v>48005.793173063925</v>
      </c>
      <c r="H52" s="147">
        <f t="shared" si="7"/>
        <v>48005.793173063925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160444.4444444445</v>
      </c>
      <c r="E53" s="164">
        <f t="shared" si="4"/>
        <v>28500</v>
      </c>
      <c r="F53" s="163">
        <f t="shared" si="5"/>
        <v>131944.4444444445</v>
      </c>
      <c r="G53" s="165">
        <f t="shared" si="6"/>
        <v>44823.579181083711</v>
      </c>
      <c r="H53" s="147">
        <f t="shared" si="7"/>
        <v>44823.579181083711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131944.4444444445</v>
      </c>
      <c r="E54" s="164">
        <f t="shared" si="4"/>
        <v>28500</v>
      </c>
      <c r="F54" s="163">
        <f t="shared" si="5"/>
        <v>103444.4444444445</v>
      </c>
      <c r="G54" s="165">
        <f t="shared" si="6"/>
        <v>41641.365189103497</v>
      </c>
      <c r="H54" s="147">
        <f t="shared" si="7"/>
        <v>41641.365189103497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103444.4444444445</v>
      </c>
      <c r="E55" s="164">
        <f t="shared" si="4"/>
        <v>28500</v>
      </c>
      <c r="F55" s="163">
        <f t="shared" si="5"/>
        <v>74944.444444444496</v>
      </c>
      <c r="G55" s="165">
        <f t="shared" si="6"/>
        <v>38459.151197123276</v>
      </c>
      <c r="H55" s="147">
        <f t="shared" si="7"/>
        <v>38459.151197123276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74944.444444444496</v>
      </c>
      <c r="E56" s="164">
        <f t="shared" si="4"/>
        <v>28500</v>
      </c>
      <c r="F56" s="163">
        <f t="shared" si="5"/>
        <v>46444.444444444496</v>
      </c>
      <c r="G56" s="165">
        <f t="shared" si="6"/>
        <v>35276.937205143062</v>
      </c>
      <c r="H56" s="147">
        <f t="shared" si="7"/>
        <v>35276.937205143062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46444.444444444496</v>
      </c>
      <c r="E57" s="164">
        <f t="shared" si="4"/>
        <v>28500</v>
      </c>
      <c r="F57" s="163">
        <f t="shared" si="5"/>
        <v>17944.444444444496</v>
      </c>
      <c r="G57" s="165">
        <f t="shared" si="6"/>
        <v>32094.723213162844</v>
      </c>
      <c r="H57" s="147">
        <f t="shared" si="7"/>
        <v>32094.723213162844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17944.444444444496</v>
      </c>
      <c r="E58" s="164">
        <f t="shared" si="4"/>
        <v>17944.444444444496</v>
      </c>
      <c r="F58" s="163">
        <f t="shared" si="5"/>
        <v>0</v>
      </c>
      <c r="G58" s="165">
        <f t="shared" si="6"/>
        <v>18946.252553030863</v>
      </c>
      <c r="H58" s="147">
        <f t="shared" si="7"/>
        <v>18946.252553030863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1140000</v>
      </c>
      <c r="F73" s="115"/>
      <c r="G73" s="115">
        <f>SUM(G17:G72)</f>
        <v>3738212.6257922617</v>
      </c>
      <c r="H73" s="115">
        <f>SUM(H17:H72)</f>
        <v>3738212.6257922617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20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30733.448109554683</v>
      </c>
      <c r="N87" s="202">
        <f>IF(J92&lt;D11,0,VLOOKUP(J92,C17:O72,11))</f>
        <v>30733.448109554683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72305.937255510624</v>
      </c>
      <c r="N88" s="204">
        <f>IF(J92&lt;D11,0,VLOOKUP(J92,C99:P154,7))</f>
        <v>72305.937255510624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Sayre 138 kV Capacitor Bank Addition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41572.489145955944</v>
      </c>
      <c r="N89" s="207">
        <f>+N88-N87</f>
        <v>41572.489145955944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1140000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24783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158">
        <v>0</v>
      </c>
      <c r="E99" s="165">
        <f>IF(OR(D11=I10,D92&lt;100000),0,J$96/12*(12-D94))</f>
        <v>0</v>
      </c>
      <c r="F99" s="163">
        <f>IF(D93=C99,+D92-E99,+D99-E99)</f>
        <v>1140000</v>
      </c>
      <c r="G99" s="218">
        <f>+(F99+D99)/2</f>
        <v>570000</v>
      </c>
      <c r="H99" s="218">
        <f t="shared" ref="H99:H154" si="9">+J$94*G99+E99</f>
        <v>72305.937255510624</v>
      </c>
      <c r="I99" s="218">
        <f>+J$95*G99+E99</f>
        <v>72305.937255510624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1140000</v>
      </c>
      <c r="E100" s="164">
        <f>IF(+J$96&lt;F99,J$96,D100)</f>
        <v>24783</v>
      </c>
      <c r="F100" s="163">
        <f>+D100-E100</f>
        <v>1115217</v>
      </c>
      <c r="G100" s="163">
        <f>+(F100+D100)/2</f>
        <v>1127608.5</v>
      </c>
      <c r="H100" s="333">
        <f t="shared" si="9"/>
        <v>167822.98149084288</v>
      </c>
      <c r="I100" s="344">
        <f t="shared" ref="I100:I154" si="14">+J$95*G100+E100</f>
        <v>167822.98149084288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1115217</v>
      </c>
      <c r="E101" s="164">
        <f t="shared" ref="E101:E154" si="16">IF(+J$96&lt;F100,J$96,D101)</f>
        <v>24783</v>
      </c>
      <c r="F101" s="163">
        <f t="shared" ref="F101:F154" si="17">+D101-E101</f>
        <v>1090434</v>
      </c>
      <c r="G101" s="163">
        <f t="shared" ref="G101:G154" si="18">+(F101+D101)/2</f>
        <v>1102825.5</v>
      </c>
      <c r="H101" s="333">
        <f t="shared" si="9"/>
        <v>164679.19545048618</v>
      </c>
      <c r="I101" s="344">
        <f t="shared" si="14"/>
        <v>164679.19545048618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1090434</v>
      </c>
      <c r="E102" s="164">
        <f t="shared" si="16"/>
        <v>24783</v>
      </c>
      <c r="F102" s="163">
        <f t="shared" si="17"/>
        <v>1065651</v>
      </c>
      <c r="G102" s="163">
        <f t="shared" si="18"/>
        <v>1078042.5</v>
      </c>
      <c r="H102" s="333">
        <f t="shared" si="9"/>
        <v>161535.40941012948</v>
      </c>
      <c r="I102" s="344">
        <f t="shared" si="14"/>
        <v>161535.40941012948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1065651</v>
      </c>
      <c r="E103" s="164">
        <f t="shared" si="16"/>
        <v>24783</v>
      </c>
      <c r="F103" s="163">
        <f t="shared" si="17"/>
        <v>1040868</v>
      </c>
      <c r="G103" s="163">
        <f t="shared" si="18"/>
        <v>1053259.5</v>
      </c>
      <c r="H103" s="333">
        <f t="shared" si="9"/>
        <v>158391.62336977277</v>
      </c>
      <c r="I103" s="344">
        <f t="shared" si="14"/>
        <v>158391.62336977277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1040868</v>
      </c>
      <c r="E104" s="164">
        <f t="shared" si="16"/>
        <v>24783</v>
      </c>
      <c r="F104" s="163">
        <f t="shared" si="17"/>
        <v>1016085</v>
      </c>
      <c r="G104" s="163">
        <f t="shared" si="18"/>
        <v>1028476.5</v>
      </c>
      <c r="H104" s="333">
        <f t="shared" si="9"/>
        <v>155247.83732941607</v>
      </c>
      <c r="I104" s="344">
        <f t="shared" si="14"/>
        <v>155247.83732941607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1016085</v>
      </c>
      <c r="E105" s="164">
        <f t="shared" si="16"/>
        <v>24783</v>
      </c>
      <c r="F105" s="163">
        <f t="shared" si="17"/>
        <v>991302</v>
      </c>
      <c r="G105" s="163">
        <f t="shared" si="18"/>
        <v>1003693.5</v>
      </c>
      <c r="H105" s="333">
        <f t="shared" si="9"/>
        <v>152104.0512890594</v>
      </c>
      <c r="I105" s="344">
        <f t="shared" si="14"/>
        <v>152104.0512890594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991302</v>
      </c>
      <c r="E106" s="164">
        <f t="shared" si="16"/>
        <v>24783</v>
      </c>
      <c r="F106" s="163">
        <f t="shared" si="17"/>
        <v>966519</v>
      </c>
      <c r="G106" s="163">
        <f t="shared" si="18"/>
        <v>978910.5</v>
      </c>
      <c r="H106" s="333">
        <f t="shared" si="9"/>
        <v>148960.26524870266</v>
      </c>
      <c r="I106" s="344">
        <f t="shared" si="14"/>
        <v>148960.26524870266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966519</v>
      </c>
      <c r="E107" s="164">
        <f t="shared" si="16"/>
        <v>24783</v>
      </c>
      <c r="F107" s="163">
        <f t="shared" si="17"/>
        <v>941736</v>
      </c>
      <c r="G107" s="163">
        <f t="shared" si="18"/>
        <v>954127.5</v>
      </c>
      <c r="H107" s="333">
        <f t="shared" si="9"/>
        <v>145816.47920834599</v>
      </c>
      <c r="I107" s="344">
        <f t="shared" si="14"/>
        <v>145816.47920834599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941736</v>
      </c>
      <c r="E108" s="164">
        <f t="shared" si="16"/>
        <v>24783</v>
      </c>
      <c r="F108" s="163">
        <f t="shared" si="17"/>
        <v>916953</v>
      </c>
      <c r="G108" s="163">
        <f t="shared" si="18"/>
        <v>929344.5</v>
      </c>
      <c r="H108" s="333">
        <f t="shared" si="9"/>
        <v>142672.69316798926</v>
      </c>
      <c r="I108" s="344">
        <f t="shared" si="14"/>
        <v>142672.69316798926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916953</v>
      </c>
      <c r="E109" s="164">
        <f t="shared" si="16"/>
        <v>24783</v>
      </c>
      <c r="F109" s="163">
        <f t="shared" si="17"/>
        <v>892170</v>
      </c>
      <c r="G109" s="163">
        <f t="shared" si="18"/>
        <v>904561.5</v>
      </c>
      <c r="H109" s="333">
        <f t="shared" si="9"/>
        <v>139528.90712763258</v>
      </c>
      <c r="I109" s="344">
        <f t="shared" si="14"/>
        <v>139528.90712763258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892170</v>
      </c>
      <c r="E110" s="164">
        <f t="shared" si="16"/>
        <v>24783</v>
      </c>
      <c r="F110" s="163">
        <f t="shared" si="17"/>
        <v>867387</v>
      </c>
      <c r="G110" s="163">
        <f t="shared" si="18"/>
        <v>879778.5</v>
      </c>
      <c r="H110" s="333">
        <f t="shared" si="9"/>
        <v>136385.12108727585</v>
      </c>
      <c r="I110" s="344">
        <f t="shared" si="14"/>
        <v>136385.12108727585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867387</v>
      </c>
      <c r="E111" s="164">
        <f t="shared" si="16"/>
        <v>24783</v>
      </c>
      <c r="F111" s="163">
        <f t="shared" si="17"/>
        <v>842604</v>
      </c>
      <c r="G111" s="163">
        <f t="shared" si="18"/>
        <v>854995.5</v>
      </c>
      <c r="H111" s="333">
        <f t="shared" si="9"/>
        <v>133241.33504691918</v>
      </c>
      <c r="I111" s="344">
        <f t="shared" si="14"/>
        <v>133241.33504691918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842604</v>
      </c>
      <c r="E112" s="164">
        <f t="shared" si="16"/>
        <v>24783</v>
      </c>
      <c r="F112" s="163">
        <f t="shared" si="17"/>
        <v>817821</v>
      </c>
      <c r="G112" s="163">
        <f t="shared" si="18"/>
        <v>830212.5</v>
      </c>
      <c r="H112" s="333">
        <f t="shared" si="9"/>
        <v>130097.54900656248</v>
      </c>
      <c r="I112" s="344">
        <f t="shared" si="14"/>
        <v>130097.54900656248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817821</v>
      </c>
      <c r="E113" s="164">
        <f t="shared" si="16"/>
        <v>24783</v>
      </c>
      <c r="F113" s="163">
        <f t="shared" si="17"/>
        <v>793038</v>
      </c>
      <c r="G113" s="163">
        <f t="shared" si="18"/>
        <v>805429.5</v>
      </c>
      <c r="H113" s="333">
        <f t="shared" si="9"/>
        <v>126953.76296620577</v>
      </c>
      <c r="I113" s="344">
        <f t="shared" si="14"/>
        <v>126953.76296620577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793038</v>
      </c>
      <c r="E114" s="164">
        <f t="shared" si="16"/>
        <v>24783</v>
      </c>
      <c r="F114" s="163">
        <f t="shared" si="17"/>
        <v>768255</v>
      </c>
      <c r="G114" s="163">
        <f t="shared" si="18"/>
        <v>780646.5</v>
      </c>
      <c r="H114" s="333">
        <f t="shared" si="9"/>
        <v>123809.97692584907</v>
      </c>
      <c r="I114" s="344">
        <f t="shared" si="14"/>
        <v>123809.97692584907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768255</v>
      </c>
      <c r="E115" s="164">
        <f t="shared" si="16"/>
        <v>24783</v>
      </c>
      <c r="F115" s="163">
        <f t="shared" si="17"/>
        <v>743472</v>
      </c>
      <c r="G115" s="163">
        <f t="shared" si="18"/>
        <v>755863.5</v>
      </c>
      <c r="H115" s="333">
        <f t="shared" si="9"/>
        <v>120666.19088549237</v>
      </c>
      <c r="I115" s="344">
        <f t="shared" si="14"/>
        <v>120666.19088549237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743472</v>
      </c>
      <c r="E116" s="164">
        <f t="shared" si="16"/>
        <v>24783</v>
      </c>
      <c r="F116" s="163">
        <f t="shared" si="17"/>
        <v>718689</v>
      </c>
      <c r="G116" s="163">
        <f t="shared" si="18"/>
        <v>731080.5</v>
      </c>
      <c r="H116" s="333">
        <f t="shared" si="9"/>
        <v>117522.40484513566</v>
      </c>
      <c r="I116" s="344">
        <f t="shared" si="14"/>
        <v>117522.40484513566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718689</v>
      </c>
      <c r="E117" s="164">
        <f t="shared" si="16"/>
        <v>24783</v>
      </c>
      <c r="F117" s="163">
        <f t="shared" si="17"/>
        <v>693906</v>
      </c>
      <c r="G117" s="163">
        <f t="shared" si="18"/>
        <v>706297.5</v>
      </c>
      <c r="H117" s="333">
        <f t="shared" si="9"/>
        <v>114378.61880477896</v>
      </c>
      <c r="I117" s="344">
        <f t="shared" si="14"/>
        <v>114378.61880477896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693906</v>
      </c>
      <c r="E118" s="164">
        <f t="shared" si="16"/>
        <v>24783</v>
      </c>
      <c r="F118" s="163">
        <f t="shared" si="17"/>
        <v>669123</v>
      </c>
      <c r="G118" s="163">
        <f t="shared" si="18"/>
        <v>681514.5</v>
      </c>
      <c r="H118" s="333">
        <f t="shared" si="9"/>
        <v>111234.83276442226</v>
      </c>
      <c r="I118" s="344">
        <f t="shared" si="14"/>
        <v>111234.83276442226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669123</v>
      </c>
      <c r="E119" s="164">
        <f t="shared" si="16"/>
        <v>24783</v>
      </c>
      <c r="F119" s="163">
        <f t="shared" si="17"/>
        <v>644340</v>
      </c>
      <c r="G119" s="163">
        <f t="shared" si="18"/>
        <v>656731.5</v>
      </c>
      <c r="H119" s="333">
        <f t="shared" si="9"/>
        <v>108091.04672406557</v>
      </c>
      <c r="I119" s="344">
        <f t="shared" si="14"/>
        <v>108091.04672406557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644340</v>
      </c>
      <c r="E120" s="164">
        <f t="shared" si="16"/>
        <v>24783</v>
      </c>
      <c r="F120" s="163">
        <f t="shared" si="17"/>
        <v>619557</v>
      </c>
      <c r="G120" s="163">
        <f t="shared" si="18"/>
        <v>631948.5</v>
      </c>
      <c r="H120" s="333">
        <f t="shared" si="9"/>
        <v>104947.26068370887</v>
      </c>
      <c r="I120" s="344">
        <f t="shared" si="14"/>
        <v>104947.26068370887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619557</v>
      </c>
      <c r="E121" s="164">
        <f t="shared" si="16"/>
        <v>24783</v>
      </c>
      <c r="F121" s="163">
        <f t="shared" si="17"/>
        <v>594774</v>
      </c>
      <c r="G121" s="163">
        <f t="shared" si="18"/>
        <v>607165.5</v>
      </c>
      <c r="H121" s="333">
        <f t="shared" si="9"/>
        <v>101803.47464335217</v>
      </c>
      <c r="I121" s="344">
        <f t="shared" si="14"/>
        <v>101803.47464335217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594774</v>
      </c>
      <c r="E122" s="164">
        <f t="shared" si="16"/>
        <v>24783</v>
      </c>
      <c r="F122" s="163">
        <f t="shared" si="17"/>
        <v>569991</v>
      </c>
      <c r="G122" s="163">
        <f t="shared" si="18"/>
        <v>582382.5</v>
      </c>
      <c r="H122" s="333">
        <f t="shared" si="9"/>
        <v>98659.688602995462</v>
      </c>
      <c r="I122" s="344">
        <f t="shared" si="14"/>
        <v>98659.688602995462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569991</v>
      </c>
      <c r="E123" s="164">
        <f t="shared" si="16"/>
        <v>24783</v>
      </c>
      <c r="F123" s="163">
        <f t="shared" si="17"/>
        <v>545208</v>
      </c>
      <c r="G123" s="163">
        <f t="shared" si="18"/>
        <v>557599.5</v>
      </c>
      <c r="H123" s="333">
        <f t="shared" si="9"/>
        <v>95515.902562638759</v>
      </c>
      <c r="I123" s="344">
        <f t="shared" si="14"/>
        <v>95515.902562638759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545208</v>
      </c>
      <c r="E124" s="164">
        <f t="shared" si="16"/>
        <v>24783</v>
      </c>
      <c r="F124" s="163">
        <f t="shared" si="17"/>
        <v>520425</v>
      </c>
      <c r="G124" s="163">
        <f t="shared" si="18"/>
        <v>532816.5</v>
      </c>
      <c r="H124" s="333">
        <f t="shared" si="9"/>
        <v>92372.116522282056</v>
      </c>
      <c r="I124" s="344">
        <f t="shared" si="14"/>
        <v>92372.116522282056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520425</v>
      </c>
      <c r="E125" s="164">
        <f t="shared" si="16"/>
        <v>24783</v>
      </c>
      <c r="F125" s="163">
        <f t="shared" si="17"/>
        <v>495642</v>
      </c>
      <c r="G125" s="163">
        <f t="shared" si="18"/>
        <v>508033.5</v>
      </c>
      <c r="H125" s="333">
        <f t="shared" si="9"/>
        <v>89228.330481925354</v>
      </c>
      <c r="I125" s="344">
        <f t="shared" si="14"/>
        <v>89228.330481925354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495642</v>
      </c>
      <c r="E126" s="164">
        <f t="shared" si="16"/>
        <v>24783</v>
      </c>
      <c r="F126" s="163">
        <f t="shared" si="17"/>
        <v>470859</v>
      </c>
      <c r="G126" s="163">
        <f t="shared" si="18"/>
        <v>483250.5</v>
      </c>
      <c r="H126" s="333">
        <f t="shared" si="9"/>
        <v>86084.544441568665</v>
      </c>
      <c r="I126" s="344">
        <f t="shared" si="14"/>
        <v>86084.544441568665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470859</v>
      </c>
      <c r="E127" s="164">
        <f t="shared" si="16"/>
        <v>24783</v>
      </c>
      <c r="F127" s="163">
        <f t="shared" si="17"/>
        <v>446076</v>
      </c>
      <c r="G127" s="163">
        <f t="shared" si="18"/>
        <v>458467.5</v>
      </c>
      <c r="H127" s="333">
        <f t="shared" si="9"/>
        <v>82940.758401211962</v>
      </c>
      <c r="I127" s="344">
        <f t="shared" si="14"/>
        <v>82940.758401211962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446076</v>
      </c>
      <c r="E128" s="164">
        <f t="shared" si="16"/>
        <v>24783</v>
      </c>
      <c r="F128" s="163">
        <f t="shared" si="17"/>
        <v>421293</v>
      </c>
      <c r="G128" s="163">
        <f t="shared" si="18"/>
        <v>433684.5</v>
      </c>
      <c r="H128" s="333">
        <f t="shared" si="9"/>
        <v>79796.972360855259</v>
      </c>
      <c r="I128" s="344">
        <f t="shared" si="14"/>
        <v>79796.972360855259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421293</v>
      </c>
      <c r="E129" s="164">
        <f t="shared" si="16"/>
        <v>24783</v>
      </c>
      <c r="F129" s="163">
        <f t="shared" si="17"/>
        <v>396510</v>
      </c>
      <c r="G129" s="163">
        <f t="shared" si="18"/>
        <v>408901.5</v>
      </c>
      <c r="H129" s="333">
        <f t="shared" si="9"/>
        <v>76653.186320498557</v>
      </c>
      <c r="I129" s="344">
        <f t="shared" si="14"/>
        <v>76653.186320498557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396510</v>
      </c>
      <c r="E130" s="164">
        <f t="shared" si="16"/>
        <v>24783</v>
      </c>
      <c r="F130" s="163">
        <f t="shared" si="17"/>
        <v>371727</v>
      </c>
      <c r="G130" s="163">
        <f t="shared" si="18"/>
        <v>384118.5</v>
      </c>
      <c r="H130" s="333">
        <f t="shared" si="9"/>
        <v>73509.400280141854</v>
      </c>
      <c r="I130" s="344">
        <f t="shared" si="14"/>
        <v>73509.400280141854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371727</v>
      </c>
      <c r="E131" s="164">
        <f t="shared" si="16"/>
        <v>24783</v>
      </c>
      <c r="F131" s="163">
        <f t="shared" si="17"/>
        <v>346944</v>
      </c>
      <c r="G131" s="163">
        <f t="shared" si="18"/>
        <v>359335.5</v>
      </c>
      <c r="H131" s="333">
        <f t="shared" si="9"/>
        <v>70365.614239785151</v>
      </c>
      <c r="I131" s="344">
        <f t="shared" si="14"/>
        <v>70365.614239785151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346944</v>
      </c>
      <c r="E132" s="164">
        <f t="shared" si="16"/>
        <v>24783</v>
      </c>
      <c r="F132" s="163">
        <f t="shared" si="17"/>
        <v>322161</v>
      </c>
      <c r="G132" s="163">
        <f t="shared" si="18"/>
        <v>334552.5</v>
      </c>
      <c r="H132" s="333">
        <f t="shared" si="9"/>
        <v>67221.828199428448</v>
      </c>
      <c r="I132" s="344">
        <f t="shared" si="14"/>
        <v>67221.828199428448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322161</v>
      </c>
      <c r="E133" s="164">
        <f t="shared" si="16"/>
        <v>24783</v>
      </c>
      <c r="F133" s="163">
        <f t="shared" si="17"/>
        <v>297378</v>
      </c>
      <c r="G133" s="163">
        <f t="shared" si="18"/>
        <v>309769.5</v>
      </c>
      <c r="H133" s="333">
        <f t="shared" si="9"/>
        <v>64078.042159071745</v>
      </c>
      <c r="I133" s="344">
        <f t="shared" si="14"/>
        <v>64078.042159071745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297378</v>
      </c>
      <c r="E134" s="164">
        <f t="shared" si="16"/>
        <v>24783</v>
      </c>
      <c r="F134" s="163">
        <f t="shared" si="17"/>
        <v>272595</v>
      </c>
      <c r="G134" s="163">
        <f t="shared" si="18"/>
        <v>284986.5</v>
      </c>
      <c r="H134" s="333">
        <f t="shared" si="9"/>
        <v>60934.25611871505</v>
      </c>
      <c r="I134" s="344">
        <f t="shared" si="14"/>
        <v>60934.25611871505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272595</v>
      </c>
      <c r="E135" s="164">
        <f t="shared" si="16"/>
        <v>24783</v>
      </c>
      <c r="F135" s="163">
        <f t="shared" si="17"/>
        <v>247812</v>
      </c>
      <c r="G135" s="163">
        <f t="shared" si="18"/>
        <v>260203.5</v>
      </c>
      <c r="H135" s="333">
        <f t="shared" si="9"/>
        <v>57790.470078358347</v>
      </c>
      <c r="I135" s="344">
        <f t="shared" si="14"/>
        <v>57790.470078358347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247812</v>
      </c>
      <c r="E136" s="164">
        <f t="shared" si="16"/>
        <v>24783</v>
      </c>
      <c r="F136" s="163">
        <f t="shared" si="17"/>
        <v>223029</v>
      </c>
      <c r="G136" s="163">
        <f t="shared" si="18"/>
        <v>235420.5</v>
      </c>
      <c r="H136" s="333">
        <f t="shared" si="9"/>
        <v>54646.684038001644</v>
      </c>
      <c r="I136" s="344">
        <f t="shared" si="14"/>
        <v>54646.684038001644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223029</v>
      </c>
      <c r="E137" s="164">
        <f t="shared" si="16"/>
        <v>24783</v>
      </c>
      <c r="F137" s="163">
        <f t="shared" si="17"/>
        <v>198246</v>
      </c>
      <c r="G137" s="163">
        <f t="shared" si="18"/>
        <v>210637.5</v>
      </c>
      <c r="H137" s="333">
        <f t="shared" si="9"/>
        <v>51502.897997644948</v>
      </c>
      <c r="I137" s="344">
        <f t="shared" si="14"/>
        <v>51502.897997644948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198246</v>
      </c>
      <c r="E138" s="164">
        <f t="shared" si="16"/>
        <v>24783</v>
      </c>
      <c r="F138" s="163">
        <f t="shared" si="17"/>
        <v>173463</v>
      </c>
      <c r="G138" s="163">
        <f t="shared" si="18"/>
        <v>185854.5</v>
      </c>
      <c r="H138" s="333">
        <f t="shared" si="9"/>
        <v>48359.111957288245</v>
      </c>
      <c r="I138" s="344">
        <f t="shared" si="14"/>
        <v>48359.111957288245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173463</v>
      </c>
      <c r="E139" s="164">
        <f t="shared" si="16"/>
        <v>24783</v>
      </c>
      <c r="F139" s="163">
        <f t="shared" si="17"/>
        <v>148680</v>
      </c>
      <c r="G139" s="163">
        <f t="shared" si="18"/>
        <v>161071.5</v>
      </c>
      <c r="H139" s="333">
        <f t="shared" si="9"/>
        <v>45215.325916931542</v>
      </c>
      <c r="I139" s="344">
        <f t="shared" si="14"/>
        <v>45215.325916931542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148680</v>
      </c>
      <c r="E140" s="164">
        <f t="shared" si="16"/>
        <v>24783</v>
      </c>
      <c r="F140" s="163">
        <f t="shared" si="17"/>
        <v>123897</v>
      </c>
      <c r="G140" s="163">
        <f t="shared" si="18"/>
        <v>136288.5</v>
      </c>
      <c r="H140" s="333">
        <f t="shared" si="9"/>
        <v>42071.53987657484</v>
      </c>
      <c r="I140" s="344">
        <f t="shared" si="14"/>
        <v>42071.53987657484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123897</v>
      </c>
      <c r="E141" s="164">
        <f t="shared" si="16"/>
        <v>24783</v>
      </c>
      <c r="F141" s="163">
        <f t="shared" si="17"/>
        <v>99114</v>
      </c>
      <c r="G141" s="163">
        <f t="shared" si="18"/>
        <v>111505.5</v>
      </c>
      <c r="H141" s="333">
        <f t="shared" si="9"/>
        <v>38927.753836218137</v>
      </c>
      <c r="I141" s="344">
        <f t="shared" si="14"/>
        <v>38927.753836218137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99114</v>
      </c>
      <c r="E142" s="164">
        <f t="shared" si="16"/>
        <v>24783</v>
      </c>
      <c r="F142" s="163">
        <f t="shared" si="17"/>
        <v>74331</v>
      </c>
      <c r="G142" s="163">
        <f t="shared" si="18"/>
        <v>86722.5</v>
      </c>
      <c r="H142" s="333">
        <f t="shared" si="9"/>
        <v>35783.967795861434</v>
      </c>
      <c r="I142" s="344">
        <f t="shared" si="14"/>
        <v>35783.967795861434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74331</v>
      </c>
      <c r="E143" s="164">
        <f t="shared" si="16"/>
        <v>24783</v>
      </c>
      <c r="F143" s="163">
        <f t="shared" si="17"/>
        <v>49548</v>
      </c>
      <c r="G143" s="163">
        <f t="shared" si="18"/>
        <v>61939.5</v>
      </c>
      <c r="H143" s="333">
        <f t="shared" si="9"/>
        <v>32640.181755504738</v>
      </c>
      <c r="I143" s="344">
        <f t="shared" si="14"/>
        <v>32640.181755504738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49548</v>
      </c>
      <c r="E144" s="164">
        <f t="shared" si="16"/>
        <v>24783</v>
      </c>
      <c r="F144" s="163">
        <f t="shared" si="17"/>
        <v>24765</v>
      </c>
      <c r="G144" s="163">
        <f t="shared" si="18"/>
        <v>37156.5</v>
      </c>
      <c r="H144" s="333">
        <f t="shared" si="9"/>
        <v>29496.395715148035</v>
      </c>
      <c r="I144" s="344">
        <f t="shared" si="14"/>
        <v>29496.395715148035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24765</v>
      </c>
      <c r="E145" s="164">
        <f t="shared" si="16"/>
        <v>24765</v>
      </c>
      <c r="F145" s="163">
        <f t="shared" si="17"/>
        <v>0</v>
      </c>
      <c r="G145" s="163">
        <f t="shared" si="18"/>
        <v>12382.5</v>
      </c>
      <c r="H145" s="333">
        <f t="shared" si="9"/>
        <v>26335.751347484842</v>
      </c>
      <c r="I145" s="344">
        <f t="shared" si="14"/>
        <v>26335.751347484842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1140000</v>
      </c>
      <c r="F155" s="115"/>
      <c r="G155" s="115"/>
      <c r="H155" s="115">
        <f>SUM(H99:H154)</f>
        <v>4538327.6757377917</v>
      </c>
      <c r="I155" s="115">
        <f>SUM(I99:I154)</f>
        <v>4538327.6757377917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zoomScale="78" zoomScaleNormal="100" zoomScaleSheetLayoutView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21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34470.293545069071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34470.293545069071</v>
      </c>
      <c r="O6" s="1"/>
      <c r="P6" s="1"/>
    </row>
    <row r="7" spans="1:16" ht="13.5" thickBot="1">
      <c r="C7" s="127" t="s">
        <v>41</v>
      </c>
      <c r="D7" s="227" t="s">
        <v>270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262000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6550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466">
        <v>0</v>
      </c>
      <c r="E17" s="469">
        <v>2847.8260869565215</v>
      </c>
      <c r="F17" s="467">
        <v>259152.17391304349</v>
      </c>
      <c r="G17" s="469">
        <v>19337.763746241846</v>
      </c>
      <c r="H17" s="468">
        <v>19337.763746241846</v>
      </c>
      <c r="I17" s="160">
        <f t="shared" ref="I17:I72" si="0">H17-G17</f>
        <v>0</v>
      </c>
      <c r="J17" s="160"/>
      <c r="K17" s="337">
        <f>+G17</f>
        <v>19337.763746241846</v>
      </c>
      <c r="L17" s="161">
        <f t="shared" ref="L17:L72" si="1">IF(K17&lt;&gt;0,+G17-K17,0)</f>
        <v>0</v>
      </c>
      <c r="M17" s="337">
        <f>+H17</f>
        <v>19337.763746241846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20">
        <v>259152.17391304349</v>
      </c>
      <c r="E18" s="421">
        <v>5822.2222222222226</v>
      </c>
      <c r="F18" s="420">
        <v>253329.95169082127</v>
      </c>
      <c r="G18" s="421">
        <v>36509.380469214986</v>
      </c>
      <c r="H18" s="425">
        <v>36509.380469214986</v>
      </c>
      <c r="I18" s="160">
        <f t="shared" si="0"/>
        <v>0</v>
      </c>
      <c r="J18" s="160"/>
      <c r="K18" s="338">
        <f>G18</f>
        <v>36509.380469214986</v>
      </c>
      <c r="L18" s="440">
        <f>IF(K18&lt;&gt;0,+G18-K18,0)</f>
        <v>0</v>
      </c>
      <c r="M18" s="338">
        <f>H18</f>
        <v>36509.380469214986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253329.95169082127</v>
      </c>
      <c r="E19" s="164">
        <f t="shared" ref="E19:E72" si="4">IF(+I$14&lt;F18,I$14,D19)</f>
        <v>6550</v>
      </c>
      <c r="F19" s="163">
        <f t="shared" ref="F19:F72" si="5">+D19-E19</f>
        <v>246779.95169082127</v>
      </c>
      <c r="G19" s="165">
        <f t="shared" ref="G19:G72" si="6">(D19+F19)/2*I$12+E19</f>
        <v>34470.293545069071</v>
      </c>
      <c r="H19" s="147">
        <f t="shared" ref="H19:H72" si="7">+(D19+F19)/2*I$13+E19</f>
        <v>34470.293545069071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246779.95169082127</v>
      </c>
      <c r="E20" s="164">
        <f t="shared" si="4"/>
        <v>6550</v>
      </c>
      <c r="F20" s="163">
        <f t="shared" si="5"/>
        <v>240229.95169082127</v>
      </c>
      <c r="G20" s="165">
        <f t="shared" si="6"/>
        <v>33738.942610070109</v>
      </c>
      <c r="H20" s="147">
        <f t="shared" si="7"/>
        <v>33738.942610070109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240229.95169082127</v>
      </c>
      <c r="E21" s="164">
        <f t="shared" si="4"/>
        <v>6550</v>
      </c>
      <c r="F21" s="163">
        <f t="shared" si="5"/>
        <v>233679.95169082127</v>
      </c>
      <c r="G21" s="165">
        <f t="shared" si="6"/>
        <v>33007.591675071148</v>
      </c>
      <c r="H21" s="147">
        <f t="shared" si="7"/>
        <v>33007.591675071148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233679.95169082127</v>
      </c>
      <c r="E22" s="164">
        <f t="shared" si="4"/>
        <v>6550</v>
      </c>
      <c r="F22" s="163">
        <f t="shared" si="5"/>
        <v>227129.95169082127</v>
      </c>
      <c r="G22" s="165">
        <f t="shared" si="6"/>
        <v>32276.240740072186</v>
      </c>
      <c r="H22" s="147">
        <f t="shared" si="7"/>
        <v>32276.240740072186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227129.95169082127</v>
      </c>
      <c r="E23" s="164">
        <f t="shared" si="4"/>
        <v>6550</v>
      </c>
      <c r="F23" s="163">
        <f t="shared" si="5"/>
        <v>220579.95169082127</v>
      </c>
      <c r="G23" s="165">
        <f t="shared" si="6"/>
        <v>31544.889805073224</v>
      </c>
      <c r="H23" s="147">
        <f t="shared" si="7"/>
        <v>31544.889805073224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220579.95169082127</v>
      </c>
      <c r="E24" s="164">
        <f t="shared" si="4"/>
        <v>6550</v>
      </c>
      <c r="F24" s="163">
        <f t="shared" si="5"/>
        <v>214029.95169082127</v>
      </c>
      <c r="G24" s="165">
        <f t="shared" si="6"/>
        <v>30813.538870074262</v>
      </c>
      <c r="H24" s="147">
        <f t="shared" si="7"/>
        <v>30813.538870074262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214029.95169082127</v>
      </c>
      <c r="E25" s="164">
        <f t="shared" si="4"/>
        <v>6550</v>
      </c>
      <c r="F25" s="163">
        <f t="shared" si="5"/>
        <v>207479.95169082127</v>
      </c>
      <c r="G25" s="165">
        <f t="shared" si="6"/>
        <v>30082.187935075301</v>
      </c>
      <c r="H25" s="147">
        <f t="shared" si="7"/>
        <v>30082.187935075301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207479.95169082127</v>
      </c>
      <c r="E26" s="164">
        <f t="shared" si="4"/>
        <v>6550</v>
      </c>
      <c r="F26" s="163">
        <f t="shared" si="5"/>
        <v>200929.95169082127</v>
      </c>
      <c r="G26" s="165">
        <f t="shared" si="6"/>
        <v>29350.837000076339</v>
      </c>
      <c r="H26" s="147">
        <f t="shared" si="7"/>
        <v>29350.837000076339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200929.95169082127</v>
      </c>
      <c r="E27" s="164">
        <f t="shared" si="4"/>
        <v>6550</v>
      </c>
      <c r="F27" s="163">
        <f t="shared" si="5"/>
        <v>194379.95169082127</v>
      </c>
      <c r="G27" s="165">
        <f t="shared" si="6"/>
        <v>28619.486065077377</v>
      </c>
      <c r="H27" s="147">
        <f t="shared" si="7"/>
        <v>28619.486065077377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194379.95169082127</v>
      </c>
      <c r="E28" s="164">
        <f t="shared" si="4"/>
        <v>6550</v>
      </c>
      <c r="F28" s="163">
        <f t="shared" si="5"/>
        <v>187829.95169082127</v>
      </c>
      <c r="G28" s="165">
        <f t="shared" si="6"/>
        <v>27888.135130078415</v>
      </c>
      <c r="H28" s="147">
        <f t="shared" si="7"/>
        <v>27888.135130078415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187829.95169082127</v>
      </c>
      <c r="E29" s="164">
        <f t="shared" si="4"/>
        <v>6550</v>
      </c>
      <c r="F29" s="163">
        <f t="shared" si="5"/>
        <v>181279.95169082127</v>
      </c>
      <c r="G29" s="165">
        <f t="shared" si="6"/>
        <v>27156.784195079454</v>
      </c>
      <c r="H29" s="147">
        <f t="shared" si="7"/>
        <v>27156.784195079454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181279.95169082127</v>
      </c>
      <c r="E30" s="164">
        <f t="shared" si="4"/>
        <v>6550</v>
      </c>
      <c r="F30" s="163">
        <f t="shared" si="5"/>
        <v>174729.95169082127</v>
      </c>
      <c r="G30" s="165">
        <f t="shared" si="6"/>
        <v>26425.433260080488</v>
      </c>
      <c r="H30" s="147">
        <f t="shared" si="7"/>
        <v>26425.433260080488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174729.95169082127</v>
      </c>
      <c r="E31" s="164">
        <f t="shared" si="4"/>
        <v>6550</v>
      </c>
      <c r="F31" s="163">
        <f t="shared" si="5"/>
        <v>168179.95169082127</v>
      </c>
      <c r="G31" s="165">
        <f t="shared" si="6"/>
        <v>25694.082325081527</v>
      </c>
      <c r="H31" s="147">
        <f t="shared" si="7"/>
        <v>25694.082325081527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168179.95169082127</v>
      </c>
      <c r="E32" s="164">
        <f t="shared" si="4"/>
        <v>6550</v>
      </c>
      <c r="F32" s="163">
        <f t="shared" si="5"/>
        <v>161629.95169082127</v>
      </c>
      <c r="G32" s="165">
        <f t="shared" si="6"/>
        <v>24962.731390082565</v>
      </c>
      <c r="H32" s="147">
        <f t="shared" si="7"/>
        <v>24962.731390082565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161629.95169082127</v>
      </c>
      <c r="E33" s="164">
        <f t="shared" si="4"/>
        <v>6550</v>
      </c>
      <c r="F33" s="163">
        <f t="shared" si="5"/>
        <v>155079.95169082127</v>
      </c>
      <c r="G33" s="165">
        <f t="shared" si="6"/>
        <v>24231.380455083603</v>
      </c>
      <c r="H33" s="147">
        <f t="shared" si="7"/>
        <v>24231.380455083603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155079.95169082127</v>
      </c>
      <c r="E34" s="164">
        <f t="shared" si="4"/>
        <v>6550</v>
      </c>
      <c r="F34" s="163">
        <f t="shared" si="5"/>
        <v>148529.95169082127</v>
      </c>
      <c r="G34" s="165">
        <f t="shared" si="6"/>
        <v>23500.029520084641</v>
      </c>
      <c r="H34" s="147">
        <f t="shared" si="7"/>
        <v>23500.029520084641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148529.95169082127</v>
      </c>
      <c r="E35" s="164">
        <f t="shared" si="4"/>
        <v>6550</v>
      </c>
      <c r="F35" s="163">
        <f t="shared" si="5"/>
        <v>141979.95169082127</v>
      </c>
      <c r="G35" s="165">
        <f t="shared" si="6"/>
        <v>22768.67858508568</v>
      </c>
      <c r="H35" s="147">
        <f t="shared" si="7"/>
        <v>22768.67858508568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141979.95169082127</v>
      </c>
      <c r="E36" s="164">
        <f t="shared" si="4"/>
        <v>6550</v>
      </c>
      <c r="F36" s="163">
        <f t="shared" si="5"/>
        <v>135429.95169082127</v>
      </c>
      <c r="G36" s="165">
        <f t="shared" si="6"/>
        <v>22037.327650086718</v>
      </c>
      <c r="H36" s="147">
        <f t="shared" si="7"/>
        <v>22037.327650086718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135429.95169082127</v>
      </c>
      <c r="E37" s="164">
        <f t="shared" si="4"/>
        <v>6550</v>
      </c>
      <c r="F37" s="163">
        <f t="shared" si="5"/>
        <v>128879.95169082127</v>
      </c>
      <c r="G37" s="165">
        <f t="shared" si="6"/>
        <v>21305.976715087756</v>
      </c>
      <c r="H37" s="147">
        <f t="shared" si="7"/>
        <v>21305.976715087756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128879.95169082127</v>
      </c>
      <c r="E38" s="164">
        <f t="shared" si="4"/>
        <v>6550</v>
      </c>
      <c r="F38" s="163">
        <f t="shared" si="5"/>
        <v>122329.95169082127</v>
      </c>
      <c r="G38" s="165">
        <f t="shared" si="6"/>
        <v>20574.625780088794</v>
      </c>
      <c r="H38" s="147">
        <f t="shared" si="7"/>
        <v>20574.625780088794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122329.95169082127</v>
      </c>
      <c r="E39" s="164">
        <f t="shared" si="4"/>
        <v>6550</v>
      </c>
      <c r="F39" s="163">
        <f t="shared" si="5"/>
        <v>115779.95169082127</v>
      </c>
      <c r="G39" s="165">
        <f t="shared" si="6"/>
        <v>19843.274845089829</v>
      </c>
      <c r="H39" s="147">
        <f t="shared" si="7"/>
        <v>19843.274845089829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115779.95169082127</v>
      </c>
      <c r="E40" s="164">
        <f t="shared" si="4"/>
        <v>6550</v>
      </c>
      <c r="F40" s="163">
        <f t="shared" si="5"/>
        <v>109229.95169082127</v>
      </c>
      <c r="G40" s="165">
        <f t="shared" si="6"/>
        <v>19111.923910090867</v>
      </c>
      <c r="H40" s="147">
        <f t="shared" si="7"/>
        <v>19111.923910090867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109229.95169082127</v>
      </c>
      <c r="E41" s="164">
        <f t="shared" si="4"/>
        <v>6550</v>
      </c>
      <c r="F41" s="163">
        <f t="shared" si="5"/>
        <v>102679.95169082127</v>
      </c>
      <c r="G41" s="165">
        <f t="shared" si="6"/>
        <v>18380.572975091905</v>
      </c>
      <c r="H41" s="147">
        <f t="shared" si="7"/>
        <v>18380.572975091905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102679.95169082127</v>
      </c>
      <c r="E42" s="164">
        <f t="shared" si="4"/>
        <v>6550</v>
      </c>
      <c r="F42" s="163">
        <f t="shared" si="5"/>
        <v>96129.951690821268</v>
      </c>
      <c r="G42" s="165">
        <f t="shared" si="6"/>
        <v>17649.222040092944</v>
      </c>
      <c r="H42" s="147">
        <f t="shared" si="7"/>
        <v>17649.222040092944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96129.951690821268</v>
      </c>
      <c r="E43" s="164">
        <f t="shared" si="4"/>
        <v>6550</v>
      </c>
      <c r="F43" s="163">
        <f t="shared" si="5"/>
        <v>89579.951690821268</v>
      </c>
      <c r="G43" s="165">
        <f t="shared" si="6"/>
        <v>16917.871105093982</v>
      </c>
      <c r="H43" s="147">
        <f t="shared" si="7"/>
        <v>16917.871105093982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89579.951690821268</v>
      </c>
      <c r="E44" s="164">
        <f t="shared" si="4"/>
        <v>6550</v>
      </c>
      <c r="F44" s="163">
        <f t="shared" si="5"/>
        <v>83029.951690821268</v>
      </c>
      <c r="G44" s="165">
        <f t="shared" si="6"/>
        <v>16186.52017009502</v>
      </c>
      <c r="H44" s="147">
        <f t="shared" si="7"/>
        <v>16186.52017009502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83029.951690821268</v>
      </c>
      <c r="E45" s="164">
        <f t="shared" si="4"/>
        <v>6550</v>
      </c>
      <c r="F45" s="163">
        <f t="shared" si="5"/>
        <v>76479.951690821268</v>
      </c>
      <c r="G45" s="165">
        <f t="shared" si="6"/>
        <v>15455.169235096058</v>
      </c>
      <c r="H45" s="147">
        <f t="shared" si="7"/>
        <v>15455.169235096058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76479.951690821268</v>
      </c>
      <c r="E46" s="164">
        <f t="shared" si="4"/>
        <v>6550</v>
      </c>
      <c r="F46" s="163">
        <f t="shared" si="5"/>
        <v>69929.951690821268</v>
      </c>
      <c r="G46" s="165">
        <f t="shared" si="6"/>
        <v>14723.818300097097</v>
      </c>
      <c r="H46" s="147">
        <f t="shared" si="7"/>
        <v>14723.818300097097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69929.951690821268</v>
      </c>
      <c r="E47" s="164">
        <f t="shared" si="4"/>
        <v>6550</v>
      </c>
      <c r="F47" s="163">
        <f t="shared" si="5"/>
        <v>63379.951690821268</v>
      </c>
      <c r="G47" s="165">
        <f t="shared" si="6"/>
        <v>13992.467365098135</v>
      </c>
      <c r="H47" s="147">
        <f t="shared" si="7"/>
        <v>13992.467365098135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63379.951690821268</v>
      </c>
      <c r="E48" s="164">
        <f t="shared" si="4"/>
        <v>6550</v>
      </c>
      <c r="F48" s="163">
        <f t="shared" si="5"/>
        <v>56829.951690821268</v>
      </c>
      <c r="G48" s="165">
        <f t="shared" si="6"/>
        <v>13261.116430099173</v>
      </c>
      <c r="H48" s="147">
        <f t="shared" si="7"/>
        <v>13261.116430099173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56829.951690821268</v>
      </c>
      <c r="E49" s="164">
        <f t="shared" si="4"/>
        <v>6550</v>
      </c>
      <c r="F49" s="163">
        <f t="shared" si="5"/>
        <v>50279.951690821268</v>
      </c>
      <c r="G49" s="165">
        <f t="shared" si="6"/>
        <v>12529.765495100211</v>
      </c>
      <c r="H49" s="147">
        <f t="shared" si="7"/>
        <v>12529.765495100211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50279.951690821268</v>
      </c>
      <c r="E50" s="164">
        <f t="shared" si="4"/>
        <v>6550</v>
      </c>
      <c r="F50" s="163">
        <f t="shared" si="5"/>
        <v>43729.951690821268</v>
      </c>
      <c r="G50" s="165">
        <f t="shared" si="6"/>
        <v>11798.41456010125</v>
      </c>
      <c r="H50" s="147">
        <f t="shared" si="7"/>
        <v>11798.41456010125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43729.951690821268</v>
      </c>
      <c r="E51" s="164">
        <f t="shared" si="4"/>
        <v>6550</v>
      </c>
      <c r="F51" s="163">
        <f t="shared" si="5"/>
        <v>37179.951690821268</v>
      </c>
      <c r="G51" s="165">
        <f t="shared" si="6"/>
        <v>11067.063625102286</v>
      </c>
      <c r="H51" s="147">
        <f t="shared" si="7"/>
        <v>11067.063625102286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37179.951690821268</v>
      </c>
      <c r="E52" s="164">
        <f t="shared" si="4"/>
        <v>6550</v>
      </c>
      <c r="F52" s="163">
        <f t="shared" si="5"/>
        <v>30629.951690821268</v>
      </c>
      <c r="G52" s="165">
        <f t="shared" si="6"/>
        <v>10335.712690103324</v>
      </c>
      <c r="H52" s="147">
        <f t="shared" si="7"/>
        <v>10335.712690103324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30629.951690821268</v>
      </c>
      <c r="E53" s="164">
        <f t="shared" si="4"/>
        <v>6550</v>
      </c>
      <c r="F53" s="163">
        <f t="shared" si="5"/>
        <v>24079.951690821268</v>
      </c>
      <c r="G53" s="165">
        <f t="shared" si="6"/>
        <v>9604.3617551043626</v>
      </c>
      <c r="H53" s="147">
        <f t="shared" si="7"/>
        <v>9604.3617551043626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24079.951690821268</v>
      </c>
      <c r="E54" s="164">
        <f t="shared" si="4"/>
        <v>6550</v>
      </c>
      <c r="F54" s="163">
        <f t="shared" si="5"/>
        <v>17529.951690821268</v>
      </c>
      <c r="G54" s="165">
        <f t="shared" si="6"/>
        <v>8873.0108201054009</v>
      </c>
      <c r="H54" s="147">
        <f t="shared" si="7"/>
        <v>8873.0108201054009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17529.951690821268</v>
      </c>
      <c r="E55" s="164">
        <f t="shared" si="4"/>
        <v>6550</v>
      </c>
      <c r="F55" s="163">
        <f t="shared" si="5"/>
        <v>10979.951690821268</v>
      </c>
      <c r="G55" s="165">
        <f t="shared" si="6"/>
        <v>8141.6598851064382</v>
      </c>
      <c r="H55" s="147">
        <f t="shared" si="7"/>
        <v>8141.6598851064382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10979.951690821268</v>
      </c>
      <c r="E56" s="164">
        <f t="shared" si="4"/>
        <v>6550</v>
      </c>
      <c r="F56" s="163">
        <f t="shared" si="5"/>
        <v>4429.9516908212681</v>
      </c>
      <c r="G56" s="165">
        <f t="shared" si="6"/>
        <v>7410.3089501074764</v>
      </c>
      <c r="H56" s="147">
        <f t="shared" si="7"/>
        <v>7410.3089501074764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4429.9516908212681</v>
      </c>
      <c r="E57" s="164">
        <f t="shared" si="4"/>
        <v>4429.9516908212681</v>
      </c>
      <c r="F57" s="163">
        <f t="shared" si="5"/>
        <v>0</v>
      </c>
      <c r="G57" s="165">
        <f t="shared" si="6"/>
        <v>4677.2684321252655</v>
      </c>
      <c r="H57" s="147">
        <f t="shared" si="7"/>
        <v>4677.2684321252655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262000</v>
      </c>
      <c r="F73" s="115"/>
      <c r="G73" s="115">
        <f>SUM(G17:G72)</f>
        <v>856255.8600559365</v>
      </c>
      <c r="H73" s="115">
        <f>SUM(H17:H72)</f>
        <v>856255.8600559365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21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19337.763746241846</v>
      </c>
      <c r="N87" s="202">
        <f>IF(J92&lt;D11,0,VLOOKUP(J92,C17:O72,11))</f>
        <v>19337.763746241846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24350.848452847567</v>
      </c>
      <c r="N88" s="204">
        <f>IF(J92&lt;D11,0,VLOOKUP(J92,C99:P154,7))</f>
        <v>24350.848452847567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Darlington-Roman Nose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5013.0847066057213</v>
      </c>
      <c r="N89" s="207">
        <f>+N88-N87</f>
        <v>5013.0847066057213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v>330824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7192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158">
        <v>0</v>
      </c>
      <c r="E99" s="165">
        <f>IF(OR(D11=I10,D92&lt;100000),0,J$96/12*(12-D94))</f>
        <v>3596</v>
      </c>
      <c r="F99" s="163">
        <f>IF(D93=C99,+D92-E99,+D99-E99)</f>
        <v>327228</v>
      </c>
      <c r="G99" s="218">
        <f>+(F99+D99)/2</f>
        <v>163614</v>
      </c>
      <c r="H99" s="218">
        <f t="shared" ref="H99:H154" si="9">+J$94*G99+E99</f>
        <v>24350.848452847567</v>
      </c>
      <c r="I99" s="218">
        <f>+J$95*G99+E99</f>
        <v>24350.848452847567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327228</v>
      </c>
      <c r="E100" s="164">
        <f>IF(+J$96&lt;F99,J$96,D100)</f>
        <v>7192</v>
      </c>
      <c r="F100" s="163">
        <f>+D100-E100</f>
        <v>320036</v>
      </c>
      <c r="G100" s="163">
        <f>+(F100+D100)/2</f>
        <v>323632</v>
      </c>
      <c r="H100" s="333">
        <f t="shared" si="9"/>
        <v>48245.535238377917</v>
      </c>
      <c r="I100" s="344">
        <f t="shared" ref="I100:I154" si="14">+J$95*G100+E100</f>
        <v>48245.535238377917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320036</v>
      </c>
      <c r="E101" s="164">
        <f t="shared" ref="E101:E154" si="16">IF(+J$96&lt;F100,J$96,D101)</f>
        <v>7192</v>
      </c>
      <c r="F101" s="163">
        <f t="shared" ref="F101:F154" si="17">+D101-E101</f>
        <v>312844</v>
      </c>
      <c r="G101" s="163">
        <f t="shared" ref="G101:G154" si="18">+(F101+D101)/2</f>
        <v>316440</v>
      </c>
      <c r="H101" s="333">
        <f t="shared" si="9"/>
        <v>47333.211903743475</v>
      </c>
      <c r="I101" s="344">
        <f t="shared" si="14"/>
        <v>47333.211903743475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312844</v>
      </c>
      <c r="E102" s="164">
        <f t="shared" si="16"/>
        <v>7192</v>
      </c>
      <c r="F102" s="163">
        <f t="shared" si="17"/>
        <v>305652</v>
      </c>
      <c r="G102" s="163">
        <f t="shared" si="18"/>
        <v>309248</v>
      </c>
      <c r="H102" s="333">
        <f t="shared" si="9"/>
        <v>46420.888569109033</v>
      </c>
      <c r="I102" s="344">
        <f t="shared" si="14"/>
        <v>46420.888569109033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305652</v>
      </c>
      <c r="E103" s="164">
        <f t="shared" si="16"/>
        <v>7192</v>
      </c>
      <c r="F103" s="163">
        <f t="shared" si="17"/>
        <v>298460</v>
      </c>
      <c r="G103" s="163">
        <f t="shared" si="18"/>
        <v>302056</v>
      </c>
      <c r="H103" s="333">
        <f t="shared" si="9"/>
        <v>45508.56523447459</v>
      </c>
      <c r="I103" s="344">
        <f t="shared" si="14"/>
        <v>45508.56523447459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298460</v>
      </c>
      <c r="E104" s="164">
        <f t="shared" si="16"/>
        <v>7192</v>
      </c>
      <c r="F104" s="163">
        <f t="shared" si="17"/>
        <v>291268</v>
      </c>
      <c r="G104" s="163">
        <f t="shared" si="18"/>
        <v>294864</v>
      </c>
      <c r="H104" s="333">
        <f t="shared" si="9"/>
        <v>44596.241899840148</v>
      </c>
      <c r="I104" s="344">
        <f t="shared" si="14"/>
        <v>44596.241899840148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291268</v>
      </c>
      <c r="E105" s="164">
        <f t="shared" si="16"/>
        <v>7192</v>
      </c>
      <c r="F105" s="163">
        <f t="shared" si="17"/>
        <v>284076</v>
      </c>
      <c r="G105" s="163">
        <f t="shared" si="18"/>
        <v>287672</v>
      </c>
      <c r="H105" s="333">
        <f t="shared" si="9"/>
        <v>43683.918565205706</v>
      </c>
      <c r="I105" s="344">
        <f t="shared" si="14"/>
        <v>43683.918565205706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284076</v>
      </c>
      <c r="E106" s="164">
        <f t="shared" si="16"/>
        <v>7192</v>
      </c>
      <c r="F106" s="163">
        <f t="shared" si="17"/>
        <v>276884</v>
      </c>
      <c r="G106" s="163">
        <f t="shared" si="18"/>
        <v>280480</v>
      </c>
      <c r="H106" s="333">
        <f t="shared" si="9"/>
        <v>42771.595230571256</v>
      </c>
      <c r="I106" s="344">
        <f t="shared" si="14"/>
        <v>42771.595230571256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276884</v>
      </c>
      <c r="E107" s="164">
        <f t="shared" si="16"/>
        <v>7192</v>
      </c>
      <c r="F107" s="163">
        <f t="shared" si="17"/>
        <v>269692</v>
      </c>
      <c r="G107" s="163">
        <f t="shared" si="18"/>
        <v>273288</v>
      </c>
      <c r="H107" s="333">
        <f t="shared" si="9"/>
        <v>41859.271895936814</v>
      </c>
      <c r="I107" s="344">
        <f t="shared" si="14"/>
        <v>41859.271895936814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269692</v>
      </c>
      <c r="E108" s="164">
        <f t="shared" si="16"/>
        <v>7192</v>
      </c>
      <c r="F108" s="163">
        <f t="shared" si="17"/>
        <v>262500</v>
      </c>
      <c r="G108" s="163">
        <f t="shared" si="18"/>
        <v>266096</v>
      </c>
      <c r="H108" s="333">
        <f t="shared" si="9"/>
        <v>40946.948561302372</v>
      </c>
      <c r="I108" s="344">
        <f t="shared" si="14"/>
        <v>40946.948561302372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262500</v>
      </c>
      <c r="E109" s="164">
        <f t="shared" si="16"/>
        <v>7192</v>
      </c>
      <c r="F109" s="163">
        <f t="shared" si="17"/>
        <v>255308</v>
      </c>
      <c r="G109" s="163">
        <f t="shared" si="18"/>
        <v>258904</v>
      </c>
      <c r="H109" s="333">
        <f t="shared" si="9"/>
        <v>40034.625226667929</v>
      </c>
      <c r="I109" s="344">
        <f t="shared" si="14"/>
        <v>40034.625226667929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255308</v>
      </c>
      <c r="E110" s="164">
        <f t="shared" si="16"/>
        <v>7192</v>
      </c>
      <c r="F110" s="163">
        <f t="shared" si="17"/>
        <v>248116</v>
      </c>
      <c r="G110" s="163">
        <f t="shared" si="18"/>
        <v>251712</v>
      </c>
      <c r="H110" s="333">
        <f t="shared" si="9"/>
        <v>39122.301892033487</v>
      </c>
      <c r="I110" s="344">
        <f t="shared" si="14"/>
        <v>39122.301892033487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248116</v>
      </c>
      <c r="E111" s="164">
        <f t="shared" si="16"/>
        <v>7192</v>
      </c>
      <c r="F111" s="163">
        <f t="shared" si="17"/>
        <v>240924</v>
      </c>
      <c r="G111" s="163">
        <f t="shared" si="18"/>
        <v>244520</v>
      </c>
      <c r="H111" s="333">
        <f t="shared" si="9"/>
        <v>38209.978557399045</v>
      </c>
      <c r="I111" s="344">
        <f t="shared" si="14"/>
        <v>38209.978557399045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240924</v>
      </c>
      <c r="E112" s="164">
        <f t="shared" si="16"/>
        <v>7192</v>
      </c>
      <c r="F112" s="163">
        <f t="shared" si="17"/>
        <v>233732</v>
      </c>
      <c r="G112" s="163">
        <f t="shared" si="18"/>
        <v>237328</v>
      </c>
      <c r="H112" s="333">
        <f t="shared" si="9"/>
        <v>37297.655222764603</v>
      </c>
      <c r="I112" s="344">
        <f t="shared" si="14"/>
        <v>37297.655222764603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233732</v>
      </c>
      <c r="E113" s="164">
        <f t="shared" si="16"/>
        <v>7192</v>
      </c>
      <c r="F113" s="163">
        <f t="shared" si="17"/>
        <v>226540</v>
      </c>
      <c r="G113" s="163">
        <f t="shared" si="18"/>
        <v>230136</v>
      </c>
      <c r="H113" s="333">
        <f t="shared" si="9"/>
        <v>36385.33188813016</v>
      </c>
      <c r="I113" s="344">
        <f t="shared" si="14"/>
        <v>36385.33188813016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226540</v>
      </c>
      <c r="E114" s="164">
        <f t="shared" si="16"/>
        <v>7192</v>
      </c>
      <c r="F114" s="163">
        <f t="shared" si="17"/>
        <v>219348</v>
      </c>
      <c r="G114" s="163">
        <f t="shared" si="18"/>
        <v>222944</v>
      </c>
      <c r="H114" s="333">
        <f t="shared" si="9"/>
        <v>35473.008553495718</v>
      </c>
      <c r="I114" s="344">
        <f t="shared" si="14"/>
        <v>35473.008553495718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219348</v>
      </c>
      <c r="E115" s="164">
        <f t="shared" si="16"/>
        <v>7192</v>
      </c>
      <c r="F115" s="163">
        <f t="shared" si="17"/>
        <v>212156</v>
      </c>
      <c r="G115" s="163">
        <f t="shared" si="18"/>
        <v>215752</v>
      </c>
      <c r="H115" s="333">
        <f t="shared" si="9"/>
        <v>34560.685218861276</v>
      </c>
      <c r="I115" s="344">
        <f t="shared" si="14"/>
        <v>34560.685218861276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212156</v>
      </c>
      <c r="E116" s="164">
        <f t="shared" si="16"/>
        <v>7192</v>
      </c>
      <c r="F116" s="163">
        <f t="shared" si="17"/>
        <v>204964</v>
      </c>
      <c r="G116" s="163">
        <f t="shared" si="18"/>
        <v>208560</v>
      </c>
      <c r="H116" s="333">
        <f t="shared" si="9"/>
        <v>33648.361884226833</v>
      </c>
      <c r="I116" s="344">
        <f t="shared" si="14"/>
        <v>33648.361884226833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204964</v>
      </c>
      <c r="E117" s="164">
        <f t="shared" si="16"/>
        <v>7192</v>
      </c>
      <c r="F117" s="163">
        <f t="shared" si="17"/>
        <v>197772</v>
      </c>
      <c r="G117" s="163">
        <f t="shared" si="18"/>
        <v>201368</v>
      </c>
      <c r="H117" s="333">
        <f t="shared" si="9"/>
        <v>32736.038549592391</v>
      </c>
      <c r="I117" s="344">
        <f t="shared" si="14"/>
        <v>32736.038549592391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197772</v>
      </c>
      <c r="E118" s="164">
        <f t="shared" si="16"/>
        <v>7192</v>
      </c>
      <c r="F118" s="163">
        <f t="shared" si="17"/>
        <v>190580</v>
      </c>
      <c r="G118" s="163">
        <f t="shared" si="18"/>
        <v>194176</v>
      </c>
      <c r="H118" s="333">
        <f t="shared" si="9"/>
        <v>31823.715214957945</v>
      </c>
      <c r="I118" s="344">
        <f t="shared" si="14"/>
        <v>31823.715214957945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190580</v>
      </c>
      <c r="E119" s="164">
        <f t="shared" si="16"/>
        <v>7192</v>
      </c>
      <c r="F119" s="163">
        <f t="shared" si="17"/>
        <v>183388</v>
      </c>
      <c r="G119" s="163">
        <f t="shared" si="18"/>
        <v>186984</v>
      </c>
      <c r="H119" s="333">
        <f t="shared" si="9"/>
        <v>30911.391880323503</v>
      </c>
      <c r="I119" s="344">
        <f t="shared" si="14"/>
        <v>30911.391880323503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183388</v>
      </c>
      <c r="E120" s="164">
        <f t="shared" si="16"/>
        <v>7192</v>
      </c>
      <c r="F120" s="163">
        <f t="shared" si="17"/>
        <v>176196</v>
      </c>
      <c r="G120" s="163">
        <f t="shared" si="18"/>
        <v>179792</v>
      </c>
      <c r="H120" s="333">
        <f t="shared" si="9"/>
        <v>29999.068545689061</v>
      </c>
      <c r="I120" s="344">
        <f t="shared" si="14"/>
        <v>29999.068545689061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176196</v>
      </c>
      <c r="E121" s="164">
        <f t="shared" si="16"/>
        <v>7192</v>
      </c>
      <c r="F121" s="163">
        <f t="shared" si="17"/>
        <v>169004</v>
      </c>
      <c r="G121" s="163">
        <f t="shared" si="18"/>
        <v>172600</v>
      </c>
      <c r="H121" s="333">
        <f t="shared" si="9"/>
        <v>29086.745211054618</v>
      </c>
      <c r="I121" s="344">
        <f t="shared" si="14"/>
        <v>29086.745211054618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169004</v>
      </c>
      <c r="E122" s="164">
        <f t="shared" si="16"/>
        <v>7192</v>
      </c>
      <c r="F122" s="163">
        <f t="shared" si="17"/>
        <v>161812</v>
      </c>
      <c r="G122" s="163">
        <f t="shared" si="18"/>
        <v>165408</v>
      </c>
      <c r="H122" s="333">
        <f t="shared" si="9"/>
        <v>28174.421876420176</v>
      </c>
      <c r="I122" s="344">
        <f t="shared" si="14"/>
        <v>28174.421876420176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161812</v>
      </c>
      <c r="E123" s="164">
        <f t="shared" si="16"/>
        <v>7192</v>
      </c>
      <c r="F123" s="163">
        <f t="shared" si="17"/>
        <v>154620</v>
      </c>
      <c r="G123" s="163">
        <f t="shared" si="18"/>
        <v>158216</v>
      </c>
      <c r="H123" s="333">
        <f t="shared" si="9"/>
        <v>27262.098541785734</v>
      </c>
      <c r="I123" s="344">
        <f t="shared" si="14"/>
        <v>27262.098541785734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154620</v>
      </c>
      <c r="E124" s="164">
        <f t="shared" si="16"/>
        <v>7192</v>
      </c>
      <c r="F124" s="163">
        <f t="shared" si="17"/>
        <v>147428</v>
      </c>
      <c r="G124" s="163">
        <f t="shared" si="18"/>
        <v>151024</v>
      </c>
      <c r="H124" s="333">
        <f t="shared" si="9"/>
        <v>26349.775207151291</v>
      </c>
      <c r="I124" s="344">
        <f t="shared" si="14"/>
        <v>26349.775207151291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147428</v>
      </c>
      <c r="E125" s="164">
        <f t="shared" si="16"/>
        <v>7192</v>
      </c>
      <c r="F125" s="163">
        <f t="shared" si="17"/>
        <v>140236</v>
      </c>
      <c r="G125" s="163">
        <f t="shared" si="18"/>
        <v>143832</v>
      </c>
      <c r="H125" s="333">
        <f t="shared" si="9"/>
        <v>25437.451872516849</v>
      </c>
      <c r="I125" s="344">
        <f t="shared" si="14"/>
        <v>25437.451872516849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140236</v>
      </c>
      <c r="E126" s="164">
        <f t="shared" si="16"/>
        <v>7192</v>
      </c>
      <c r="F126" s="163">
        <f t="shared" si="17"/>
        <v>133044</v>
      </c>
      <c r="G126" s="163">
        <f t="shared" si="18"/>
        <v>136640</v>
      </c>
      <c r="H126" s="333">
        <f t="shared" si="9"/>
        <v>24525.128537882403</v>
      </c>
      <c r="I126" s="344">
        <f t="shared" si="14"/>
        <v>24525.128537882403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133044</v>
      </c>
      <c r="E127" s="164">
        <f t="shared" si="16"/>
        <v>7192</v>
      </c>
      <c r="F127" s="163">
        <f t="shared" si="17"/>
        <v>125852</v>
      </c>
      <c r="G127" s="163">
        <f t="shared" si="18"/>
        <v>129448</v>
      </c>
      <c r="H127" s="333">
        <f t="shared" si="9"/>
        <v>23612.805203247961</v>
      </c>
      <c r="I127" s="344">
        <f t="shared" si="14"/>
        <v>23612.805203247961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125852</v>
      </c>
      <c r="E128" s="164">
        <f t="shared" si="16"/>
        <v>7192</v>
      </c>
      <c r="F128" s="163">
        <f t="shared" si="17"/>
        <v>118660</v>
      </c>
      <c r="G128" s="163">
        <f t="shared" si="18"/>
        <v>122256</v>
      </c>
      <c r="H128" s="333">
        <f t="shared" si="9"/>
        <v>22700.481868613519</v>
      </c>
      <c r="I128" s="344">
        <f t="shared" si="14"/>
        <v>22700.481868613519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118660</v>
      </c>
      <c r="E129" s="164">
        <f t="shared" si="16"/>
        <v>7192</v>
      </c>
      <c r="F129" s="163">
        <f t="shared" si="17"/>
        <v>111468</v>
      </c>
      <c r="G129" s="163">
        <f t="shared" si="18"/>
        <v>115064</v>
      </c>
      <c r="H129" s="333">
        <f t="shared" si="9"/>
        <v>21788.158533979076</v>
      </c>
      <c r="I129" s="344">
        <f t="shared" si="14"/>
        <v>21788.158533979076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111468</v>
      </c>
      <c r="E130" s="164">
        <f t="shared" si="16"/>
        <v>7192</v>
      </c>
      <c r="F130" s="163">
        <f t="shared" si="17"/>
        <v>104276</v>
      </c>
      <c r="G130" s="163">
        <f t="shared" si="18"/>
        <v>107872</v>
      </c>
      <c r="H130" s="333">
        <f t="shared" si="9"/>
        <v>20875.835199344634</v>
      </c>
      <c r="I130" s="344">
        <f t="shared" si="14"/>
        <v>20875.835199344634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104276</v>
      </c>
      <c r="E131" s="164">
        <f t="shared" si="16"/>
        <v>7192</v>
      </c>
      <c r="F131" s="163">
        <f t="shared" si="17"/>
        <v>97084</v>
      </c>
      <c r="G131" s="163">
        <f t="shared" si="18"/>
        <v>100680</v>
      </c>
      <c r="H131" s="333">
        <f t="shared" si="9"/>
        <v>19963.511864710192</v>
      </c>
      <c r="I131" s="344">
        <f t="shared" si="14"/>
        <v>19963.511864710192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97084</v>
      </c>
      <c r="E132" s="164">
        <f t="shared" si="16"/>
        <v>7192</v>
      </c>
      <c r="F132" s="163">
        <f t="shared" si="17"/>
        <v>89892</v>
      </c>
      <c r="G132" s="163">
        <f t="shared" si="18"/>
        <v>93488</v>
      </c>
      <c r="H132" s="333">
        <f t="shared" si="9"/>
        <v>19051.188530075749</v>
      </c>
      <c r="I132" s="344">
        <f t="shared" si="14"/>
        <v>19051.188530075749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89892</v>
      </c>
      <c r="E133" s="164">
        <f t="shared" si="16"/>
        <v>7192</v>
      </c>
      <c r="F133" s="163">
        <f t="shared" si="17"/>
        <v>82700</v>
      </c>
      <c r="G133" s="163">
        <f t="shared" si="18"/>
        <v>86296</v>
      </c>
      <c r="H133" s="333">
        <f t="shared" si="9"/>
        <v>18138.865195441307</v>
      </c>
      <c r="I133" s="344">
        <f t="shared" si="14"/>
        <v>18138.865195441307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82700</v>
      </c>
      <c r="E134" s="164">
        <f t="shared" si="16"/>
        <v>7192</v>
      </c>
      <c r="F134" s="163">
        <f t="shared" si="17"/>
        <v>75508</v>
      </c>
      <c r="G134" s="163">
        <f t="shared" si="18"/>
        <v>79104</v>
      </c>
      <c r="H134" s="333">
        <f t="shared" si="9"/>
        <v>17226.541860806865</v>
      </c>
      <c r="I134" s="344">
        <f t="shared" si="14"/>
        <v>17226.541860806865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75508</v>
      </c>
      <c r="E135" s="164">
        <f t="shared" si="16"/>
        <v>7192</v>
      </c>
      <c r="F135" s="163">
        <f t="shared" si="17"/>
        <v>68316</v>
      </c>
      <c r="G135" s="163">
        <f t="shared" si="18"/>
        <v>71912</v>
      </c>
      <c r="H135" s="333">
        <f t="shared" si="9"/>
        <v>16314.218526172421</v>
      </c>
      <c r="I135" s="344">
        <f t="shared" si="14"/>
        <v>16314.218526172421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68316</v>
      </c>
      <c r="E136" s="164">
        <f t="shared" si="16"/>
        <v>7192</v>
      </c>
      <c r="F136" s="163">
        <f t="shared" si="17"/>
        <v>61124</v>
      </c>
      <c r="G136" s="163">
        <f t="shared" si="18"/>
        <v>64720</v>
      </c>
      <c r="H136" s="333">
        <f t="shared" si="9"/>
        <v>15401.895191537977</v>
      </c>
      <c r="I136" s="344">
        <f t="shared" si="14"/>
        <v>15401.895191537977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61124</v>
      </c>
      <c r="E137" s="164">
        <f t="shared" si="16"/>
        <v>7192</v>
      </c>
      <c r="F137" s="163">
        <f t="shared" si="17"/>
        <v>53932</v>
      </c>
      <c r="G137" s="163">
        <f t="shared" si="18"/>
        <v>57528</v>
      </c>
      <c r="H137" s="333">
        <f t="shared" si="9"/>
        <v>14489.571856903534</v>
      </c>
      <c r="I137" s="344">
        <f t="shared" si="14"/>
        <v>14489.571856903534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53932</v>
      </c>
      <c r="E138" s="164">
        <f t="shared" si="16"/>
        <v>7192</v>
      </c>
      <c r="F138" s="163">
        <f t="shared" si="17"/>
        <v>46740</v>
      </c>
      <c r="G138" s="163">
        <f t="shared" si="18"/>
        <v>50336</v>
      </c>
      <c r="H138" s="333">
        <f t="shared" si="9"/>
        <v>13577.248522269092</v>
      </c>
      <c r="I138" s="344">
        <f t="shared" si="14"/>
        <v>13577.248522269092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46740</v>
      </c>
      <c r="E139" s="164">
        <f t="shared" si="16"/>
        <v>7192</v>
      </c>
      <c r="F139" s="163">
        <f t="shared" si="17"/>
        <v>39548</v>
      </c>
      <c r="G139" s="163">
        <f t="shared" si="18"/>
        <v>43144</v>
      </c>
      <c r="H139" s="333">
        <f t="shared" si="9"/>
        <v>12664.92518763465</v>
      </c>
      <c r="I139" s="344">
        <f t="shared" si="14"/>
        <v>12664.92518763465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39548</v>
      </c>
      <c r="E140" s="164">
        <f t="shared" si="16"/>
        <v>7192</v>
      </c>
      <c r="F140" s="163">
        <f t="shared" si="17"/>
        <v>32356</v>
      </c>
      <c r="G140" s="163">
        <f t="shared" si="18"/>
        <v>35952</v>
      </c>
      <c r="H140" s="333">
        <f t="shared" si="9"/>
        <v>11752.601853000207</v>
      </c>
      <c r="I140" s="344">
        <f t="shared" si="14"/>
        <v>11752.601853000207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32356</v>
      </c>
      <c r="E141" s="164">
        <f t="shared" si="16"/>
        <v>7192</v>
      </c>
      <c r="F141" s="163">
        <f t="shared" si="17"/>
        <v>25164</v>
      </c>
      <c r="G141" s="163">
        <f t="shared" si="18"/>
        <v>28760</v>
      </c>
      <c r="H141" s="333">
        <f t="shared" si="9"/>
        <v>10840.278518365763</v>
      </c>
      <c r="I141" s="344">
        <f t="shared" si="14"/>
        <v>10840.278518365763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25164</v>
      </c>
      <c r="E142" s="164">
        <f t="shared" si="16"/>
        <v>7192</v>
      </c>
      <c r="F142" s="163">
        <f t="shared" si="17"/>
        <v>17972</v>
      </c>
      <c r="G142" s="163">
        <f t="shared" si="18"/>
        <v>21568</v>
      </c>
      <c r="H142" s="333">
        <f t="shared" si="9"/>
        <v>9927.9551837313211</v>
      </c>
      <c r="I142" s="344">
        <f t="shared" si="14"/>
        <v>9927.9551837313211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17972</v>
      </c>
      <c r="E143" s="164">
        <f t="shared" si="16"/>
        <v>7192</v>
      </c>
      <c r="F143" s="163">
        <f t="shared" si="17"/>
        <v>10780</v>
      </c>
      <c r="G143" s="163">
        <f t="shared" si="18"/>
        <v>14376</v>
      </c>
      <c r="H143" s="333">
        <f t="shared" si="9"/>
        <v>9015.6318490968788</v>
      </c>
      <c r="I143" s="344">
        <f t="shared" si="14"/>
        <v>9015.6318490968788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10780</v>
      </c>
      <c r="E144" s="164">
        <f t="shared" si="16"/>
        <v>7192</v>
      </c>
      <c r="F144" s="163">
        <f t="shared" si="17"/>
        <v>3588</v>
      </c>
      <c r="G144" s="163">
        <f t="shared" si="18"/>
        <v>7184</v>
      </c>
      <c r="H144" s="333">
        <f t="shared" si="9"/>
        <v>8103.3085144624356</v>
      </c>
      <c r="I144" s="344">
        <f t="shared" si="14"/>
        <v>8103.3085144624356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3588</v>
      </c>
      <c r="E145" s="164">
        <f t="shared" si="16"/>
        <v>3588</v>
      </c>
      <c r="F145" s="163">
        <f t="shared" si="17"/>
        <v>0</v>
      </c>
      <c r="G145" s="163">
        <f t="shared" si="18"/>
        <v>1794</v>
      </c>
      <c r="H145" s="333">
        <f t="shared" si="9"/>
        <v>3815.5734235726072</v>
      </c>
      <c r="I145" s="344">
        <f t="shared" si="14"/>
        <v>3815.5734235726072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330824</v>
      </c>
      <c r="F155" s="115"/>
      <c r="G155" s="115"/>
      <c r="H155" s="115">
        <f>SUM(H99:H154)</f>
        <v>1296015.4063153279</v>
      </c>
      <c r="I155" s="115">
        <f>SUM(I99:I154)</f>
        <v>1296015.4063153279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topLeftCell="A61" zoomScale="78" zoomScaleNormal="100" zoomScaleSheetLayoutView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22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32700.951777404996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32700.951777404996</v>
      </c>
      <c r="O6" s="1"/>
      <c r="P6" s="1"/>
    </row>
    <row r="7" spans="1:16" ht="13.5" thickBot="1">
      <c r="C7" s="127" t="s">
        <v>41</v>
      </c>
      <c r="D7" s="227" t="s">
        <v>271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297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244000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6100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6">
        <v>0</v>
      </c>
      <c r="E17" s="469">
        <v>2711.1111111111113</v>
      </c>
      <c r="F17" s="467">
        <v>241288.88888888888</v>
      </c>
      <c r="G17" s="469">
        <v>17159.361980055266</v>
      </c>
      <c r="H17" s="468">
        <v>17159.361980055266</v>
      </c>
      <c r="I17" s="160">
        <f t="shared" ref="I17:I72" si="0">H17-G17</f>
        <v>0</v>
      </c>
      <c r="J17" s="160"/>
      <c r="K17" s="337">
        <f>+G17</f>
        <v>17159.361980055266</v>
      </c>
      <c r="L17" s="161">
        <f t="shared" ref="L17:L72" si="1">IF(K17&lt;&gt;0,+G17-K17,0)</f>
        <v>0</v>
      </c>
      <c r="M17" s="337">
        <f>+H17</f>
        <v>17159.361980055266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241288.88888888888</v>
      </c>
      <c r="E18" s="164">
        <f t="shared" ref="E18:E72" si="4">IF(+I$14&lt;F17,I$14,D18)</f>
        <v>6100</v>
      </c>
      <c r="F18" s="163">
        <f t="shared" ref="F18:F72" si="5">+D18-E18</f>
        <v>235188.88888888888</v>
      </c>
      <c r="G18" s="165">
        <f t="shared" ref="G18:G72" si="6">(D18+F18)/2*I$12+E18</f>
        <v>32700.951777404996</v>
      </c>
      <c r="H18" s="147">
        <f t="shared" ref="H18:H72" si="7">+(D18+F18)/2*I$13+E18</f>
        <v>32700.951777404996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235188.88888888888</v>
      </c>
      <c r="E19" s="164">
        <f t="shared" si="4"/>
        <v>6100</v>
      </c>
      <c r="F19" s="163">
        <f t="shared" si="5"/>
        <v>229088.88888888888</v>
      </c>
      <c r="G19" s="165">
        <f t="shared" si="6"/>
        <v>32019.846326489929</v>
      </c>
      <c r="H19" s="147">
        <f t="shared" si="7"/>
        <v>32019.846326489929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229088.88888888888</v>
      </c>
      <c r="E20" s="164">
        <f t="shared" si="4"/>
        <v>6100</v>
      </c>
      <c r="F20" s="163">
        <f t="shared" si="5"/>
        <v>222988.88888888888</v>
      </c>
      <c r="G20" s="165">
        <f t="shared" si="6"/>
        <v>31338.740875574866</v>
      </c>
      <c r="H20" s="147">
        <f t="shared" si="7"/>
        <v>31338.740875574866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222988.88888888888</v>
      </c>
      <c r="E21" s="164">
        <f t="shared" si="4"/>
        <v>6100</v>
      </c>
      <c r="F21" s="163">
        <f t="shared" si="5"/>
        <v>216888.88888888888</v>
      </c>
      <c r="G21" s="165">
        <f t="shared" si="6"/>
        <v>30657.635424659802</v>
      </c>
      <c r="H21" s="147">
        <f t="shared" si="7"/>
        <v>30657.635424659802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216888.88888888888</v>
      </c>
      <c r="E22" s="164">
        <f t="shared" si="4"/>
        <v>6100</v>
      </c>
      <c r="F22" s="163">
        <f t="shared" si="5"/>
        <v>210788.88888888888</v>
      </c>
      <c r="G22" s="165">
        <f t="shared" si="6"/>
        <v>29976.529973744739</v>
      </c>
      <c r="H22" s="147">
        <f t="shared" si="7"/>
        <v>29976.529973744739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210788.88888888888</v>
      </c>
      <c r="E23" s="164">
        <f t="shared" si="4"/>
        <v>6100</v>
      </c>
      <c r="F23" s="163">
        <f t="shared" si="5"/>
        <v>204688.88888888888</v>
      </c>
      <c r="G23" s="165">
        <f t="shared" si="6"/>
        <v>29295.424522829675</v>
      </c>
      <c r="H23" s="147">
        <f t="shared" si="7"/>
        <v>29295.424522829675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204688.88888888888</v>
      </c>
      <c r="E24" s="164">
        <f t="shared" si="4"/>
        <v>6100</v>
      </c>
      <c r="F24" s="163">
        <f t="shared" si="5"/>
        <v>198588.88888888888</v>
      </c>
      <c r="G24" s="165">
        <f t="shared" si="6"/>
        <v>28614.319071914611</v>
      </c>
      <c r="H24" s="147">
        <f t="shared" si="7"/>
        <v>28614.319071914611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198588.88888888888</v>
      </c>
      <c r="E25" s="164">
        <f t="shared" si="4"/>
        <v>6100</v>
      </c>
      <c r="F25" s="163">
        <f t="shared" si="5"/>
        <v>192488.88888888888</v>
      </c>
      <c r="G25" s="165">
        <f t="shared" si="6"/>
        <v>27933.213620999548</v>
      </c>
      <c r="H25" s="147">
        <f t="shared" si="7"/>
        <v>27933.213620999548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192488.88888888888</v>
      </c>
      <c r="E26" s="164">
        <f t="shared" si="4"/>
        <v>6100</v>
      </c>
      <c r="F26" s="163">
        <f t="shared" si="5"/>
        <v>186388.88888888888</v>
      </c>
      <c r="G26" s="165">
        <f t="shared" si="6"/>
        <v>27252.108170084484</v>
      </c>
      <c r="H26" s="147">
        <f t="shared" si="7"/>
        <v>27252.108170084484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186388.88888888888</v>
      </c>
      <c r="E27" s="164">
        <f t="shared" si="4"/>
        <v>6100</v>
      </c>
      <c r="F27" s="163">
        <f t="shared" si="5"/>
        <v>180288.88888888888</v>
      </c>
      <c r="G27" s="165">
        <f t="shared" si="6"/>
        <v>26571.002719169421</v>
      </c>
      <c r="H27" s="147">
        <f t="shared" si="7"/>
        <v>26571.002719169421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180288.88888888888</v>
      </c>
      <c r="E28" s="164">
        <f t="shared" si="4"/>
        <v>6100</v>
      </c>
      <c r="F28" s="163">
        <f t="shared" si="5"/>
        <v>174188.88888888888</v>
      </c>
      <c r="G28" s="165">
        <f t="shared" si="6"/>
        <v>25889.897268254357</v>
      </c>
      <c r="H28" s="147">
        <f t="shared" si="7"/>
        <v>25889.897268254357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174188.88888888888</v>
      </c>
      <c r="E29" s="164">
        <f t="shared" si="4"/>
        <v>6100</v>
      </c>
      <c r="F29" s="163">
        <f t="shared" si="5"/>
        <v>168088.88888888888</v>
      </c>
      <c r="G29" s="165">
        <f t="shared" si="6"/>
        <v>25208.79181733929</v>
      </c>
      <c r="H29" s="147">
        <f t="shared" si="7"/>
        <v>25208.79181733929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168088.88888888888</v>
      </c>
      <c r="E30" s="164">
        <f t="shared" si="4"/>
        <v>6100</v>
      </c>
      <c r="F30" s="163">
        <f t="shared" si="5"/>
        <v>161988.88888888888</v>
      </c>
      <c r="G30" s="165">
        <f t="shared" si="6"/>
        <v>24527.686366424226</v>
      </c>
      <c r="H30" s="147">
        <f t="shared" si="7"/>
        <v>24527.686366424226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161988.88888888888</v>
      </c>
      <c r="E31" s="164">
        <f t="shared" si="4"/>
        <v>6100</v>
      </c>
      <c r="F31" s="163">
        <f t="shared" si="5"/>
        <v>155888.88888888888</v>
      </c>
      <c r="G31" s="165">
        <f t="shared" si="6"/>
        <v>23846.580915509163</v>
      </c>
      <c r="H31" s="147">
        <f t="shared" si="7"/>
        <v>23846.580915509163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155888.88888888888</v>
      </c>
      <c r="E32" s="164">
        <f t="shared" si="4"/>
        <v>6100</v>
      </c>
      <c r="F32" s="163">
        <f t="shared" si="5"/>
        <v>149788.88888888888</v>
      </c>
      <c r="G32" s="165">
        <f t="shared" si="6"/>
        <v>23165.475464594099</v>
      </c>
      <c r="H32" s="147">
        <f t="shared" si="7"/>
        <v>23165.475464594099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149788.88888888888</v>
      </c>
      <c r="E33" s="164">
        <f t="shared" si="4"/>
        <v>6100</v>
      </c>
      <c r="F33" s="163">
        <f t="shared" si="5"/>
        <v>143688.88888888888</v>
      </c>
      <c r="G33" s="165">
        <f t="shared" si="6"/>
        <v>22484.370013679036</v>
      </c>
      <c r="H33" s="147">
        <f t="shared" si="7"/>
        <v>22484.370013679036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143688.88888888888</v>
      </c>
      <c r="E34" s="164">
        <f t="shared" si="4"/>
        <v>6100</v>
      </c>
      <c r="F34" s="163">
        <f t="shared" si="5"/>
        <v>137588.88888888888</v>
      </c>
      <c r="G34" s="165">
        <f t="shared" si="6"/>
        <v>21803.264562763972</v>
      </c>
      <c r="H34" s="147">
        <f t="shared" si="7"/>
        <v>21803.264562763972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137588.88888888888</v>
      </c>
      <c r="E35" s="164">
        <f t="shared" si="4"/>
        <v>6100</v>
      </c>
      <c r="F35" s="163">
        <f t="shared" si="5"/>
        <v>131488.88888888888</v>
      </c>
      <c r="G35" s="165">
        <f t="shared" si="6"/>
        <v>21122.159111848909</v>
      </c>
      <c r="H35" s="147">
        <f t="shared" si="7"/>
        <v>21122.159111848909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131488.88888888888</v>
      </c>
      <c r="E36" s="164">
        <f t="shared" si="4"/>
        <v>6100</v>
      </c>
      <c r="F36" s="163">
        <f t="shared" si="5"/>
        <v>125388.88888888888</v>
      </c>
      <c r="G36" s="165">
        <f t="shared" si="6"/>
        <v>20441.053660933845</v>
      </c>
      <c r="H36" s="147">
        <f t="shared" si="7"/>
        <v>20441.053660933845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125388.88888888888</v>
      </c>
      <c r="E37" s="164">
        <f t="shared" si="4"/>
        <v>6100</v>
      </c>
      <c r="F37" s="163">
        <f t="shared" si="5"/>
        <v>119288.88888888888</v>
      </c>
      <c r="G37" s="165">
        <f t="shared" si="6"/>
        <v>19759.948210018782</v>
      </c>
      <c r="H37" s="147">
        <f t="shared" si="7"/>
        <v>19759.948210018782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119288.88888888888</v>
      </c>
      <c r="E38" s="164">
        <f t="shared" si="4"/>
        <v>6100</v>
      </c>
      <c r="F38" s="163">
        <f t="shared" si="5"/>
        <v>113188.88888888888</v>
      </c>
      <c r="G38" s="165">
        <f t="shared" si="6"/>
        <v>19078.842759103718</v>
      </c>
      <c r="H38" s="147">
        <f t="shared" si="7"/>
        <v>19078.842759103718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113188.88888888888</v>
      </c>
      <c r="E39" s="164">
        <f t="shared" si="4"/>
        <v>6100</v>
      </c>
      <c r="F39" s="163">
        <f t="shared" si="5"/>
        <v>107088.88888888888</v>
      </c>
      <c r="G39" s="165">
        <f t="shared" si="6"/>
        <v>18397.737308188654</v>
      </c>
      <c r="H39" s="147">
        <f t="shared" si="7"/>
        <v>18397.737308188654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107088.88888888888</v>
      </c>
      <c r="E40" s="164">
        <f t="shared" si="4"/>
        <v>6100</v>
      </c>
      <c r="F40" s="163">
        <f t="shared" si="5"/>
        <v>100988.88888888888</v>
      </c>
      <c r="G40" s="165">
        <f t="shared" si="6"/>
        <v>17716.631857273591</v>
      </c>
      <c r="H40" s="147">
        <f t="shared" si="7"/>
        <v>17716.631857273591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100988.88888888888</v>
      </c>
      <c r="E41" s="164">
        <f t="shared" si="4"/>
        <v>6100</v>
      </c>
      <c r="F41" s="163">
        <f t="shared" si="5"/>
        <v>94888.888888888876</v>
      </c>
      <c r="G41" s="165">
        <f t="shared" si="6"/>
        <v>17035.526406358527</v>
      </c>
      <c r="H41" s="147">
        <f t="shared" si="7"/>
        <v>17035.526406358527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94888.888888888876</v>
      </c>
      <c r="E42" s="164">
        <f t="shared" si="4"/>
        <v>6100</v>
      </c>
      <c r="F42" s="163">
        <f t="shared" si="5"/>
        <v>88788.888888888876</v>
      </c>
      <c r="G42" s="165">
        <f t="shared" si="6"/>
        <v>16354.42095544346</v>
      </c>
      <c r="H42" s="147">
        <f t="shared" si="7"/>
        <v>16354.42095544346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88788.888888888876</v>
      </c>
      <c r="E43" s="164">
        <f t="shared" si="4"/>
        <v>6100</v>
      </c>
      <c r="F43" s="163">
        <f t="shared" si="5"/>
        <v>82688.888888888876</v>
      </c>
      <c r="G43" s="165">
        <f t="shared" si="6"/>
        <v>15673.315504528397</v>
      </c>
      <c r="H43" s="147">
        <f t="shared" si="7"/>
        <v>15673.315504528397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82688.888888888876</v>
      </c>
      <c r="E44" s="164">
        <f t="shared" si="4"/>
        <v>6100</v>
      </c>
      <c r="F44" s="163">
        <f t="shared" si="5"/>
        <v>76588.888888888876</v>
      </c>
      <c r="G44" s="165">
        <f t="shared" si="6"/>
        <v>14992.210053613333</v>
      </c>
      <c r="H44" s="147">
        <f t="shared" si="7"/>
        <v>14992.210053613333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76588.888888888876</v>
      </c>
      <c r="E45" s="164">
        <f t="shared" si="4"/>
        <v>6100</v>
      </c>
      <c r="F45" s="163">
        <f t="shared" si="5"/>
        <v>70488.888888888876</v>
      </c>
      <c r="G45" s="165">
        <f t="shared" si="6"/>
        <v>14311.104602698269</v>
      </c>
      <c r="H45" s="147">
        <f t="shared" si="7"/>
        <v>14311.104602698269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70488.888888888876</v>
      </c>
      <c r="E46" s="164">
        <f t="shared" si="4"/>
        <v>6100</v>
      </c>
      <c r="F46" s="163">
        <f t="shared" si="5"/>
        <v>64388.888888888876</v>
      </c>
      <c r="G46" s="165">
        <f t="shared" si="6"/>
        <v>13629.999151783206</v>
      </c>
      <c r="H46" s="147">
        <f t="shared" si="7"/>
        <v>13629.999151783206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64388.888888888876</v>
      </c>
      <c r="E47" s="164">
        <f t="shared" si="4"/>
        <v>6100</v>
      </c>
      <c r="F47" s="163">
        <f t="shared" si="5"/>
        <v>58288.888888888876</v>
      </c>
      <c r="G47" s="165">
        <f t="shared" si="6"/>
        <v>12948.893700868142</v>
      </c>
      <c r="H47" s="147">
        <f t="shared" si="7"/>
        <v>12948.893700868142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58288.888888888876</v>
      </c>
      <c r="E48" s="164">
        <f t="shared" si="4"/>
        <v>6100</v>
      </c>
      <c r="F48" s="163">
        <f t="shared" si="5"/>
        <v>52188.888888888876</v>
      </c>
      <c r="G48" s="165">
        <f t="shared" si="6"/>
        <v>12267.788249953077</v>
      </c>
      <c r="H48" s="147">
        <f t="shared" si="7"/>
        <v>12267.788249953077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52188.888888888876</v>
      </c>
      <c r="E49" s="164">
        <f t="shared" si="4"/>
        <v>6100</v>
      </c>
      <c r="F49" s="163">
        <f t="shared" si="5"/>
        <v>46088.888888888876</v>
      </c>
      <c r="G49" s="165">
        <f t="shared" si="6"/>
        <v>11586.682799038013</v>
      </c>
      <c r="H49" s="147">
        <f t="shared" si="7"/>
        <v>11586.682799038013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46088.888888888876</v>
      </c>
      <c r="E50" s="164">
        <f t="shared" si="4"/>
        <v>6100</v>
      </c>
      <c r="F50" s="163">
        <f t="shared" si="5"/>
        <v>39988.888888888876</v>
      </c>
      <c r="G50" s="165">
        <f t="shared" si="6"/>
        <v>10905.57734812295</v>
      </c>
      <c r="H50" s="147">
        <f t="shared" si="7"/>
        <v>10905.57734812295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39988.888888888876</v>
      </c>
      <c r="E51" s="164">
        <f t="shared" si="4"/>
        <v>6100</v>
      </c>
      <c r="F51" s="163">
        <f t="shared" si="5"/>
        <v>33888.888888888876</v>
      </c>
      <c r="G51" s="165">
        <f t="shared" si="6"/>
        <v>10224.471897207884</v>
      </c>
      <c r="H51" s="147">
        <f t="shared" si="7"/>
        <v>10224.471897207884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33888.888888888876</v>
      </c>
      <c r="E52" s="164">
        <f t="shared" si="4"/>
        <v>6100</v>
      </c>
      <c r="F52" s="163">
        <f t="shared" si="5"/>
        <v>27788.888888888876</v>
      </c>
      <c r="G52" s="165">
        <f t="shared" si="6"/>
        <v>9543.3664462928209</v>
      </c>
      <c r="H52" s="147">
        <f t="shared" si="7"/>
        <v>9543.3664462928209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27788.888888888876</v>
      </c>
      <c r="E53" s="164">
        <f t="shared" si="4"/>
        <v>6100</v>
      </c>
      <c r="F53" s="163">
        <f t="shared" si="5"/>
        <v>21688.888888888876</v>
      </c>
      <c r="G53" s="165">
        <f t="shared" si="6"/>
        <v>8862.2609953777574</v>
      </c>
      <c r="H53" s="147">
        <f t="shared" si="7"/>
        <v>8862.2609953777574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21688.888888888876</v>
      </c>
      <c r="E54" s="164">
        <f t="shared" si="4"/>
        <v>6100</v>
      </c>
      <c r="F54" s="163">
        <f t="shared" si="5"/>
        <v>15588.888888888876</v>
      </c>
      <c r="G54" s="165">
        <f t="shared" si="6"/>
        <v>8181.1555444626938</v>
      </c>
      <c r="H54" s="147">
        <f t="shared" si="7"/>
        <v>8181.1555444626938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15588.888888888876</v>
      </c>
      <c r="E55" s="164">
        <f t="shared" si="4"/>
        <v>6100</v>
      </c>
      <c r="F55" s="163">
        <f t="shared" si="5"/>
        <v>9488.888888888876</v>
      </c>
      <c r="G55" s="165">
        <f t="shared" si="6"/>
        <v>7500.0500935476302</v>
      </c>
      <c r="H55" s="147">
        <f t="shared" si="7"/>
        <v>7500.0500935476302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9488.888888888876</v>
      </c>
      <c r="E56" s="164">
        <f t="shared" si="4"/>
        <v>6100</v>
      </c>
      <c r="F56" s="163">
        <f t="shared" si="5"/>
        <v>3388.888888888876</v>
      </c>
      <c r="G56" s="165">
        <f t="shared" si="6"/>
        <v>6818.9446426325658</v>
      </c>
      <c r="H56" s="147">
        <f t="shared" si="7"/>
        <v>6818.9446426325658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3388.888888888876</v>
      </c>
      <c r="E57" s="164">
        <f t="shared" si="4"/>
        <v>3388.888888888876</v>
      </c>
      <c r="F57" s="163">
        <f t="shared" si="5"/>
        <v>0</v>
      </c>
      <c r="G57" s="165">
        <f t="shared" si="6"/>
        <v>3578.084847476393</v>
      </c>
      <c r="H57" s="147">
        <f t="shared" si="7"/>
        <v>3578.084847476393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244000</v>
      </c>
      <c r="F73" s="115"/>
      <c r="G73" s="115">
        <f>SUM(G17:G72)</f>
        <v>791375.42701826431</v>
      </c>
      <c r="H73" s="115">
        <f>SUM(H17:H72)</f>
        <v>791375.42701826431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22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Northeastern Station 138 kV Terminal Upgrades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244000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5304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2652</v>
      </c>
      <c r="F99" s="163">
        <f>IF(D93=C99,+D92-E99,+D99-E99)</f>
        <v>241348</v>
      </c>
      <c r="G99" s="218">
        <f>+(F99+D99)/2</f>
        <v>120674</v>
      </c>
      <c r="H99" s="218">
        <f t="shared" ref="H99:H154" si="9">+J$94*G99+E99</f>
        <v>17959.801179599104</v>
      </c>
      <c r="I99" s="218">
        <f>+J$95*G99+E99</f>
        <v>17959.801179599104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241348</v>
      </c>
      <c r="E100" s="164">
        <f>IF(+J$96&lt;F99,J$96,D100)</f>
        <v>5304</v>
      </c>
      <c r="F100" s="163">
        <f>+D100-E100</f>
        <v>236044</v>
      </c>
      <c r="G100" s="163">
        <f>+(F100+D100)/2</f>
        <v>238696</v>
      </c>
      <c r="H100" s="333">
        <f t="shared" si="9"/>
        <v>35583.18947217783</v>
      </c>
      <c r="I100" s="344">
        <f t="shared" ref="I100:I154" si="14">+J$95*G100+E100</f>
        <v>35583.18947217783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236044</v>
      </c>
      <c r="E101" s="164">
        <f t="shared" ref="E101:E154" si="16">IF(+J$96&lt;F100,J$96,D101)</f>
        <v>5304</v>
      </c>
      <c r="F101" s="163">
        <f t="shared" ref="F101:F154" si="17">+D101-E101</f>
        <v>230740</v>
      </c>
      <c r="G101" s="163">
        <f t="shared" ref="G101:G154" si="18">+(F101+D101)/2</f>
        <v>233392</v>
      </c>
      <c r="H101" s="333">
        <f t="shared" si="9"/>
        <v>34910.36369813708</v>
      </c>
      <c r="I101" s="344">
        <f t="shared" si="14"/>
        <v>34910.36369813708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230740</v>
      </c>
      <c r="E102" s="164">
        <f t="shared" si="16"/>
        <v>5304</v>
      </c>
      <c r="F102" s="163">
        <f t="shared" si="17"/>
        <v>225436</v>
      </c>
      <c r="G102" s="163">
        <f t="shared" si="18"/>
        <v>228088</v>
      </c>
      <c r="H102" s="333">
        <f t="shared" si="9"/>
        <v>34237.537924096323</v>
      </c>
      <c r="I102" s="344">
        <f t="shared" si="14"/>
        <v>34237.537924096323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225436</v>
      </c>
      <c r="E103" s="164">
        <f t="shared" si="16"/>
        <v>5304</v>
      </c>
      <c r="F103" s="163">
        <f t="shared" si="17"/>
        <v>220132</v>
      </c>
      <c r="G103" s="163">
        <f t="shared" si="18"/>
        <v>222784</v>
      </c>
      <c r="H103" s="333">
        <f t="shared" si="9"/>
        <v>33564.712150055573</v>
      </c>
      <c r="I103" s="344">
        <f t="shared" si="14"/>
        <v>33564.712150055573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220132</v>
      </c>
      <c r="E104" s="164">
        <f t="shared" si="16"/>
        <v>5304</v>
      </c>
      <c r="F104" s="163">
        <f t="shared" si="17"/>
        <v>214828</v>
      </c>
      <c r="G104" s="163">
        <f t="shared" si="18"/>
        <v>217480</v>
      </c>
      <c r="H104" s="333">
        <f t="shared" si="9"/>
        <v>32891.886376014823</v>
      </c>
      <c r="I104" s="344">
        <f t="shared" si="14"/>
        <v>32891.886376014823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214828</v>
      </c>
      <c r="E105" s="164">
        <f t="shared" si="16"/>
        <v>5304</v>
      </c>
      <c r="F105" s="163">
        <f t="shared" si="17"/>
        <v>209524</v>
      </c>
      <c r="G105" s="163">
        <f t="shared" si="18"/>
        <v>212176</v>
      </c>
      <c r="H105" s="333">
        <f t="shared" si="9"/>
        <v>32219.06060197407</v>
      </c>
      <c r="I105" s="344">
        <f t="shared" si="14"/>
        <v>32219.06060197407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209524</v>
      </c>
      <c r="E106" s="164">
        <f t="shared" si="16"/>
        <v>5304</v>
      </c>
      <c r="F106" s="163">
        <f t="shared" si="17"/>
        <v>204220</v>
      </c>
      <c r="G106" s="163">
        <f t="shared" si="18"/>
        <v>206872</v>
      </c>
      <c r="H106" s="333">
        <f t="shared" si="9"/>
        <v>31546.23482793332</v>
      </c>
      <c r="I106" s="344">
        <f t="shared" si="14"/>
        <v>31546.23482793332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204220</v>
      </c>
      <c r="E107" s="164">
        <f t="shared" si="16"/>
        <v>5304</v>
      </c>
      <c r="F107" s="163">
        <f t="shared" si="17"/>
        <v>198916</v>
      </c>
      <c r="G107" s="163">
        <f t="shared" si="18"/>
        <v>201568</v>
      </c>
      <c r="H107" s="333">
        <f t="shared" si="9"/>
        <v>30873.40905389257</v>
      </c>
      <c r="I107" s="344">
        <f t="shared" si="14"/>
        <v>30873.40905389257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198916</v>
      </c>
      <c r="E108" s="164">
        <f t="shared" si="16"/>
        <v>5304</v>
      </c>
      <c r="F108" s="163">
        <f t="shared" si="17"/>
        <v>193612</v>
      </c>
      <c r="G108" s="163">
        <f t="shared" si="18"/>
        <v>196264</v>
      </c>
      <c r="H108" s="333">
        <f t="shared" si="9"/>
        <v>30200.583279851817</v>
      </c>
      <c r="I108" s="344">
        <f t="shared" si="14"/>
        <v>30200.583279851817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193612</v>
      </c>
      <c r="E109" s="164">
        <f t="shared" si="16"/>
        <v>5304</v>
      </c>
      <c r="F109" s="163">
        <f t="shared" si="17"/>
        <v>188308</v>
      </c>
      <c r="G109" s="163">
        <f t="shared" si="18"/>
        <v>190960</v>
      </c>
      <c r="H109" s="333">
        <f t="shared" si="9"/>
        <v>29527.757505811067</v>
      </c>
      <c r="I109" s="344">
        <f t="shared" si="14"/>
        <v>29527.757505811067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188308</v>
      </c>
      <c r="E110" s="164">
        <f t="shared" si="16"/>
        <v>5304</v>
      </c>
      <c r="F110" s="163">
        <f t="shared" si="17"/>
        <v>183004</v>
      </c>
      <c r="G110" s="163">
        <f t="shared" si="18"/>
        <v>185656</v>
      </c>
      <c r="H110" s="333">
        <f t="shared" si="9"/>
        <v>28854.931731770313</v>
      </c>
      <c r="I110" s="344">
        <f t="shared" si="14"/>
        <v>28854.931731770313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183004</v>
      </c>
      <c r="E111" s="164">
        <f t="shared" si="16"/>
        <v>5304</v>
      </c>
      <c r="F111" s="163">
        <f t="shared" si="17"/>
        <v>177700</v>
      </c>
      <c r="G111" s="163">
        <f t="shared" si="18"/>
        <v>180352</v>
      </c>
      <c r="H111" s="333">
        <f t="shared" si="9"/>
        <v>28182.105957729564</v>
      </c>
      <c r="I111" s="344">
        <f t="shared" si="14"/>
        <v>28182.105957729564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177700</v>
      </c>
      <c r="E112" s="164">
        <f t="shared" si="16"/>
        <v>5304</v>
      </c>
      <c r="F112" s="163">
        <f t="shared" si="17"/>
        <v>172396</v>
      </c>
      <c r="G112" s="163">
        <f t="shared" si="18"/>
        <v>175048</v>
      </c>
      <c r="H112" s="333">
        <f t="shared" si="9"/>
        <v>27509.28018368881</v>
      </c>
      <c r="I112" s="344">
        <f t="shared" si="14"/>
        <v>27509.28018368881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172396</v>
      </c>
      <c r="E113" s="164">
        <f t="shared" si="16"/>
        <v>5304</v>
      </c>
      <c r="F113" s="163">
        <f t="shared" si="17"/>
        <v>167092</v>
      </c>
      <c r="G113" s="163">
        <f t="shared" si="18"/>
        <v>169744</v>
      </c>
      <c r="H113" s="333">
        <f t="shared" si="9"/>
        <v>26836.45440964806</v>
      </c>
      <c r="I113" s="344">
        <f t="shared" si="14"/>
        <v>26836.45440964806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167092</v>
      </c>
      <c r="E114" s="164">
        <f t="shared" si="16"/>
        <v>5304</v>
      </c>
      <c r="F114" s="163">
        <f t="shared" si="17"/>
        <v>161788</v>
      </c>
      <c r="G114" s="163">
        <f t="shared" si="18"/>
        <v>164440</v>
      </c>
      <c r="H114" s="333">
        <f t="shared" si="9"/>
        <v>26163.628635607311</v>
      </c>
      <c r="I114" s="344">
        <f t="shared" si="14"/>
        <v>26163.628635607311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161788</v>
      </c>
      <c r="E115" s="164">
        <f t="shared" si="16"/>
        <v>5304</v>
      </c>
      <c r="F115" s="163">
        <f t="shared" si="17"/>
        <v>156484</v>
      </c>
      <c r="G115" s="163">
        <f t="shared" si="18"/>
        <v>159136</v>
      </c>
      <c r="H115" s="333">
        <f t="shared" si="9"/>
        <v>25490.802861566557</v>
      </c>
      <c r="I115" s="344">
        <f t="shared" si="14"/>
        <v>25490.802861566557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156484</v>
      </c>
      <c r="E116" s="164">
        <f t="shared" si="16"/>
        <v>5304</v>
      </c>
      <c r="F116" s="163">
        <f t="shared" si="17"/>
        <v>151180</v>
      </c>
      <c r="G116" s="163">
        <f t="shared" si="18"/>
        <v>153832</v>
      </c>
      <c r="H116" s="333">
        <f t="shared" si="9"/>
        <v>24817.977087525807</v>
      </c>
      <c r="I116" s="344">
        <f t="shared" si="14"/>
        <v>24817.977087525807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151180</v>
      </c>
      <c r="E117" s="164">
        <f t="shared" si="16"/>
        <v>5304</v>
      </c>
      <c r="F117" s="163">
        <f t="shared" si="17"/>
        <v>145876</v>
      </c>
      <c r="G117" s="163">
        <f t="shared" si="18"/>
        <v>148528</v>
      </c>
      <c r="H117" s="333">
        <f t="shared" si="9"/>
        <v>24145.151313485054</v>
      </c>
      <c r="I117" s="344">
        <f t="shared" si="14"/>
        <v>24145.151313485054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145876</v>
      </c>
      <c r="E118" s="164">
        <f t="shared" si="16"/>
        <v>5304</v>
      </c>
      <c r="F118" s="163">
        <f t="shared" si="17"/>
        <v>140572</v>
      </c>
      <c r="G118" s="163">
        <f t="shared" si="18"/>
        <v>143224</v>
      </c>
      <c r="H118" s="333">
        <f t="shared" si="9"/>
        <v>23472.325539444304</v>
      </c>
      <c r="I118" s="344">
        <f t="shared" si="14"/>
        <v>23472.325539444304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140572</v>
      </c>
      <c r="E119" s="164">
        <f t="shared" si="16"/>
        <v>5304</v>
      </c>
      <c r="F119" s="163">
        <f t="shared" si="17"/>
        <v>135268</v>
      </c>
      <c r="G119" s="163">
        <f t="shared" si="18"/>
        <v>137920</v>
      </c>
      <c r="H119" s="333">
        <f t="shared" si="9"/>
        <v>22799.499765403551</v>
      </c>
      <c r="I119" s="344">
        <f t="shared" si="14"/>
        <v>22799.499765403551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135268</v>
      </c>
      <c r="E120" s="164">
        <f t="shared" si="16"/>
        <v>5304</v>
      </c>
      <c r="F120" s="163">
        <f t="shared" si="17"/>
        <v>129964</v>
      </c>
      <c r="G120" s="163">
        <f t="shared" si="18"/>
        <v>132616</v>
      </c>
      <c r="H120" s="333">
        <f t="shared" si="9"/>
        <v>22126.673991362801</v>
      </c>
      <c r="I120" s="344">
        <f t="shared" si="14"/>
        <v>22126.673991362801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129964</v>
      </c>
      <c r="E121" s="164">
        <f t="shared" si="16"/>
        <v>5304</v>
      </c>
      <c r="F121" s="163">
        <f t="shared" si="17"/>
        <v>124660</v>
      </c>
      <c r="G121" s="163">
        <f t="shared" si="18"/>
        <v>127312</v>
      </c>
      <c r="H121" s="333">
        <f t="shared" si="9"/>
        <v>21453.848217322047</v>
      </c>
      <c r="I121" s="344">
        <f t="shared" si="14"/>
        <v>21453.848217322047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124660</v>
      </c>
      <c r="E122" s="164">
        <f t="shared" si="16"/>
        <v>5304</v>
      </c>
      <c r="F122" s="163">
        <f t="shared" si="17"/>
        <v>119356</v>
      </c>
      <c r="G122" s="163">
        <f t="shared" si="18"/>
        <v>122008</v>
      </c>
      <c r="H122" s="333">
        <f t="shared" si="9"/>
        <v>20781.022443281297</v>
      </c>
      <c r="I122" s="344">
        <f t="shared" si="14"/>
        <v>20781.022443281297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119356</v>
      </c>
      <c r="E123" s="164">
        <f t="shared" si="16"/>
        <v>5304</v>
      </c>
      <c r="F123" s="163">
        <f t="shared" si="17"/>
        <v>114052</v>
      </c>
      <c r="G123" s="163">
        <f t="shared" si="18"/>
        <v>116704</v>
      </c>
      <c r="H123" s="333">
        <f t="shared" si="9"/>
        <v>20108.196669240548</v>
      </c>
      <c r="I123" s="344">
        <f t="shared" si="14"/>
        <v>20108.196669240548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114052</v>
      </c>
      <c r="E124" s="164">
        <f t="shared" si="16"/>
        <v>5304</v>
      </c>
      <c r="F124" s="163">
        <f t="shared" si="17"/>
        <v>108748</v>
      </c>
      <c r="G124" s="163">
        <f t="shared" si="18"/>
        <v>111400</v>
      </c>
      <c r="H124" s="333">
        <f t="shared" si="9"/>
        <v>19435.370895199794</v>
      </c>
      <c r="I124" s="344">
        <f t="shared" si="14"/>
        <v>19435.370895199794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108748</v>
      </c>
      <c r="E125" s="164">
        <f t="shared" si="16"/>
        <v>5304</v>
      </c>
      <c r="F125" s="163">
        <f t="shared" si="17"/>
        <v>103444</v>
      </c>
      <c r="G125" s="163">
        <f t="shared" si="18"/>
        <v>106096</v>
      </c>
      <c r="H125" s="333">
        <f t="shared" si="9"/>
        <v>18762.545121159041</v>
      </c>
      <c r="I125" s="344">
        <f t="shared" si="14"/>
        <v>18762.545121159041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103444</v>
      </c>
      <c r="E126" s="164">
        <f t="shared" si="16"/>
        <v>5304</v>
      </c>
      <c r="F126" s="163">
        <f t="shared" si="17"/>
        <v>98140</v>
      </c>
      <c r="G126" s="163">
        <f t="shared" si="18"/>
        <v>100792</v>
      </c>
      <c r="H126" s="333">
        <f t="shared" si="9"/>
        <v>18089.719347118291</v>
      </c>
      <c r="I126" s="344">
        <f t="shared" si="14"/>
        <v>18089.719347118291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98140</v>
      </c>
      <c r="E127" s="164">
        <f t="shared" si="16"/>
        <v>5304</v>
      </c>
      <c r="F127" s="163">
        <f t="shared" si="17"/>
        <v>92836</v>
      </c>
      <c r="G127" s="163">
        <f t="shared" si="18"/>
        <v>95488</v>
      </c>
      <c r="H127" s="333">
        <f t="shared" si="9"/>
        <v>17416.893573077541</v>
      </c>
      <c r="I127" s="344">
        <f t="shared" si="14"/>
        <v>17416.893573077541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92836</v>
      </c>
      <c r="E128" s="164">
        <f t="shared" si="16"/>
        <v>5304</v>
      </c>
      <c r="F128" s="163">
        <f t="shared" si="17"/>
        <v>87532</v>
      </c>
      <c r="G128" s="163">
        <f t="shared" si="18"/>
        <v>90184</v>
      </c>
      <c r="H128" s="333">
        <f t="shared" si="9"/>
        <v>16744.067799036791</v>
      </c>
      <c r="I128" s="344">
        <f t="shared" si="14"/>
        <v>16744.067799036791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87532</v>
      </c>
      <c r="E129" s="164">
        <f t="shared" si="16"/>
        <v>5304</v>
      </c>
      <c r="F129" s="163">
        <f t="shared" si="17"/>
        <v>82228</v>
      </c>
      <c r="G129" s="163">
        <f t="shared" si="18"/>
        <v>84880</v>
      </c>
      <c r="H129" s="333">
        <f t="shared" si="9"/>
        <v>16071.242024996038</v>
      </c>
      <c r="I129" s="344">
        <f t="shared" si="14"/>
        <v>16071.242024996038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82228</v>
      </c>
      <c r="E130" s="164">
        <f t="shared" si="16"/>
        <v>5304</v>
      </c>
      <c r="F130" s="163">
        <f t="shared" si="17"/>
        <v>76924</v>
      </c>
      <c r="G130" s="163">
        <f t="shared" si="18"/>
        <v>79576</v>
      </c>
      <c r="H130" s="333">
        <f t="shared" si="9"/>
        <v>15398.416250955286</v>
      </c>
      <c r="I130" s="344">
        <f t="shared" si="14"/>
        <v>15398.416250955286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76924</v>
      </c>
      <c r="E131" s="164">
        <f t="shared" si="16"/>
        <v>5304</v>
      </c>
      <c r="F131" s="163">
        <f t="shared" si="17"/>
        <v>71620</v>
      </c>
      <c r="G131" s="163">
        <f t="shared" si="18"/>
        <v>74272</v>
      </c>
      <c r="H131" s="333">
        <f t="shared" si="9"/>
        <v>14725.590476914535</v>
      </c>
      <c r="I131" s="344">
        <f t="shared" si="14"/>
        <v>14725.590476914535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71620</v>
      </c>
      <c r="E132" s="164">
        <f t="shared" si="16"/>
        <v>5304</v>
      </c>
      <c r="F132" s="163">
        <f t="shared" si="17"/>
        <v>66316</v>
      </c>
      <c r="G132" s="163">
        <f t="shared" si="18"/>
        <v>68968</v>
      </c>
      <c r="H132" s="333">
        <f t="shared" si="9"/>
        <v>14052.764702873783</v>
      </c>
      <c r="I132" s="344">
        <f t="shared" si="14"/>
        <v>14052.764702873783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66316</v>
      </c>
      <c r="E133" s="164">
        <f t="shared" si="16"/>
        <v>5304</v>
      </c>
      <c r="F133" s="163">
        <f t="shared" si="17"/>
        <v>61012</v>
      </c>
      <c r="G133" s="163">
        <f t="shared" si="18"/>
        <v>63664</v>
      </c>
      <c r="H133" s="333">
        <f t="shared" si="9"/>
        <v>13379.938928833031</v>
      </c>
      <c r="I133" s="344">
        <f t="shared" si="14"/>
        <v>13379.938928833031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61012</v>
      </c>
      <c r="E134" s="164">
        <f t="shared" si="16"/>
        <v>5304</v>
      </c>
      <c r="F134" s="163">
        <f t="shared" si="17"/>
        <v>55708</v>
      </c>
      <c r="G134" s="163">
        <f t="shared" si="18"/>
        <v>58360</v>
      </c>
      <c r="H134" s="333">
        <f t="shared" si="9"/>
        <v>12707.113154792281</v>
      </c>
      <c r="I134" s="344">
        <f t="shared" si="14"/>
        <v>12707.113154792281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55708</v>
      </c>
      <c r="E135" s="164">
        <f t="shared" si="16"/>
        <v>5304</v>
      </c>
      <c r="F135" s="163">
        <f t="shared" si="17"/>
        <v>50404</v>
      </c>
      <c r="G135" s="163">
        <f t="shared" si="18"/>
        <v>53056</v>
      </c>
      <c r="H135" s="333">
        <f t="shared" si="9"/>
        <v>12034.287380751528</v>
      </c>
      <c r="I135" s="344">
        <f t="shared" si="14"/>
        <v>12034.287380751528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50404</v>
      </c>
      <c r="E136" s="164">
        <f t="shared" si="16"/>
        <v>5304</v>
      </c>
      <c r="F136" s="163">
        <f t="shared" si="17"/>
        <v>45100</v>
      </c>
      <c r="G136" s="163">
        <f t="shared" si="18"/>
        <v>47752</v>
      </c>
      <c r="H136" s="333">
        <f t="shared" si="9"/>
        <v>11361.461606710778</v>
      </c>
      <c r="I136" s="344">
        <f t="shared" si="14"/>
        <v>11361.461606710778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45100</v>
      </c>
      <c r="E137" s="164">
        <f t="shared" si="16"/>
        <v>5304</v>
      </c>
      <c r="F137" s="163">
        <f t="shared" si="17"/>
        <v>39796</v>
      </c>
      <c r="G137" s="163">
        <f t="shared" si="18"/>
        <v>42448</v>
      </c>
      <c r="H137" s="333">
        <f t="shared" si="9"/>
        <v>10688.635832670025</v>
      </c>
      <c r="I137" s="344">
        <f t="shared" si="14"/>
        <v>10688.635832670025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39796</v>
      </c>
      <c r="E138" s="164">
        <f t="shared" si="16"/>
        <v>5304</v>
      </c>
      <c r="F138" s="163">
        <f t="shared" si="17"/>
        <v>34492</v>
      </c>
      <c r="G138" s="163">
        <f t="shared" si="18"/>
        <v>37144</v>
      </c>
      <c r="H138" s="333">
        <f t="shared" si="9"/>
        <v>10015.810058629275</v>
      </c>
      <c r="I138" s="344">
        <f t="shared" si="14"/>
        <v>10015.810058629275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34492</v>
      </c>
      <c r="E139" s="164">
        <f t="shared" si="16"/>
        <v>5304</v>
      </c>
      <c r="F139" s="163">
        <f t="shared" si="17"/>
        <v>29188</v>
      </c>
      <c r="G139" s="163">
        <f t="shared" si="18"/>
        <v>31840</v>
      </c>
      <c r="H139" s="333">
        <f t="shared" si="9"/>
        <v>9342.9842845885232</v>
      </c>
      <c r="I139" s="344">
        <f t="shared" si="14"/>
        <v>9342.9842845885232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29188</v>
      </c>
      <c r="E140" s="164">
        <f t="shared" si="16"/>
        <v>5304</v>
      </c>
      <c r="F140" s="163">
        <f t="shared" si="17"/>
        <v>23884</v>
      </c>
      <c r="G140" s="163">
        <f t="shared" si="18"/>
        <v>26536</v>
      </c>
      <c r="H140" s="333">
        <f t="shared" si="9"/>
        <v>8670.1585105477716</v>
      </c>
      <c r="I140" s="344">
        <f t="shared" si="14"/>
        <v>8670.1585105477716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23884</v>
      </c>
      <c r="E141" s="164">
        <f t="shared" si="16"/>
        <v>5304</v>
      </c>
      <c r="F141" s="163">
        <f t="shared" si="17"/>
        <v>18580</v>
      </c>
      <c r="G141" s="163">
        <f t="shared" si="18"/>
        <v>21232</v>
      </c>
      <c r="H141" s="333">
        <f t="shared" si="9"/>
        <v>7997.3327365070199</v>
      </c>
      <c r="I141" s="344">
        <f t="shared" si="14"/>
        <v>7997.3327365070199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18580</v>
      </c>
      <c r="E142" s="164">
        <f t="shared" si="16"/>
        <v>5304</v>
      </c>
      <c r="F142" s="163">
        <f t="shared" si="17"/>
        <v>13276</v>
      </c>
      <c r="G142" s="163">
        <f t="shared" si="18"/>
        <v>15928</v>
      </c>
      <c r="H142" s="333">
        <f t="shared" si="9"/>
        <v>7324.5069624662683</v>
      </c>
      <c r="I142" s="344">
        <f t="shared" si="14"/>
        <v>7324.5069624662683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13276</v>
      </c>
      <c r="E143" s="164">
        <f t="shared" si="16"/>
        <v>5304</v>
      </c>
      <c r="F143" s="163">
        <f t="shared" si="17"/>
        <v>7972</v>
      </c>
      <c r="G143" s="163">
        <f t="shared" si="18"/>
        <v>10624</v>
      </c>
      <c r="H143" s="333">
        <f t="shared" si="9"/>
        <v>6651.6811884255167</v>
      </c>
      <c r="I143" s="344">
        <f t="shared" si="14"/>
        <v>6651.6811884255167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7972</v>
      </c>
      <c r="E144" s="164">
        <f t="shared" si="16"/>
        <v>5304</v>
      </c>
      <c r="F144" s="163">
        <f t="shared" si="17"/>
        <v>2668</v>
      </c>
      <c r="G144" s="163">
        <f t="shared" si="18"/>
        <v>5320</v>
      </c>
      <c r="H144" s="333">
        <f t="shared" si="9"/>
        <v>5978.8554143847659</v>
      </c>
      <c r="I144" s="344">
        <f t="shared" si="14"/>
        <v>5978.8554143847659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2668</v>
      </c>
      <c r="E145" s="164">
        <f t="shared" si="16"/>
        <v>2668</v>
      </c>
      <c r="F145" s="163">
        <f t="shared" si="17"/>
        <v>0</v>
      </c>
      <c r="G145" s="163">
        <f t="shared" si="18"/>
        <v>1334</v>
      </c>
      <c r="H145" s="333">
        <f t="shared" si="9"/>
        <v>2837.2212636821951</v>
      </c>
      <c r="I145" s="344">
        <f t="shared" si="14"/>
        <v>2837.2212636821951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244000</v>
      </c>
      <c r="F155" s="115"/>
      <c r="G155" s="115"/>
      <c r="H155" s="115">
        <f>SUM(H99:H154)</f>
        <v>955943.03239093977</v>
      </c>
      <c r="I155" s="115">
        <f>SUM(I99:I154)</f>
        <v>955943.03239093977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52" zoomScale="78" zoomScaleNormal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23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273320.66219595348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273320.66219595348</v>
      </c>
      <c r="O6" s="1"/>
      <c r="P6" s="1"/>
    </row>
    <row r="7" spans="1:16" ht="13.5" thickBot="1">
      <c r="C7" s="127" t="s">
        <v>41</v>
      </c>
      <c r="D7" s="227" t="s">
        <v>288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298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2037000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50925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6">
        <v>0</v>
      </c>
      <c r="E17" s="469">
        <v>19755.555555555555</v>
      </c>
      <c r="F17" s="467">
        <v>1758244.4444444445</v>
      </c>
      <c r="G17" s="469">
        <v>125038.30164155026</v>
      </c>
      <c r="H17" s="468">
        <v>125038.30164155026</v>
      </c>
      <c r="I17" s="160">
        <f t="shared" ref="I17:I72" si="0">H17-G17</f>
        <v>0</v>
      </c>
      <c r="J17" s="160"/>
      <c r="K17" s="337">
        <f>+G17</f>
        <v>125038.30164155026</v>
      </c>
      <c r="L17" s="161">
        <f t="shared" ref="L17:L72" si="1">IF(K17&lt;&gt;0,+G17-K17,0)</f>
        <v>0</v>
      </c>
      <c r="M17" s="337">
        <f>+H17</f>
        <v>125038.30164155026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2019</v>
      </c>
      <c r="D18" s="166">
        <f>IF(F17+SUM(E$17:E17)=D$10,F17,D$10-SUM(E$17:E17))</f>
        <v>2017244.4444444445</v>
      </c>
      <c r="E18" s="164">
        <f t="shared" ref="E18:E72" si="4">IF(+I$14&lt;F17,I$14,D18)</f>
        <v>50925</v>
      </c>
      <c r="F18" s="163">
        <f t="shared" ref="F18:F72" si="5">+D18-E18</f>
        <v>1966319.4444444445</v>
      </c>
      <c r="G18" s="165">
        <f t="shared" ref="G18:G72" si="6">(D18+F18)/2*I$12+E18</f>
        <v>273320.66219595348</v>
      </c>
      <c r="H18" s="147">
        <f t="shared" ref="H18:H72" si="7">+(D18+F18)/2*I$13+E18</f>
        <v>273320.66219595348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1966319.4444444445</v>
      </c>
      <c r="E19" s="164">
        <f t="shared" si="4"/>
        <v>50925</v>
      </c>
      <c r="F19" s="163">
        <f t="shared" si="5"/>
        <v>1915394.4444444445</v>
      </c>
      <c r="G19" s="165">
        <f t="shared" si="6"/>
        <v>267634.5482471257</v>
      </c>
      <c r="H19" s="147">
        <f t="shared" si="7"/>
        <v>267634.5482471257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1915394.4444444445</v>
      </c>
      <c r="E20" s="164">
        <f t="shared" si="4"/>
        <v>50925</v>
      </c>
      <c r="F20" s="163">
        <f t="shared" si="5"/>
        <v>1864469.4444444445</v>
      </c>
      <c r="G20" s="165">
        <f t="shared" si="6"/>
        <v>261948.43429829786</v>
      </c>
      <c r="H20" s="147">
        <f t="shared" si="7"/>
        <v>261948.43429829786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1864469.4444444445</v>
      </c>
      <c r="E21" s="164">
        <f t="shared" si="4"/>
        <v>50925</v>
      </c>
      <c r="F21" s="163">
        <f t="shared" si="5"/>
        <v>1813544.4444444445</v>
      </c>
      <c r="G21" s="165">
        <f t="shared" si="6"/>
        <v>256262.32034947004</v>
      </c>
      <c r="H21" s="147">
        <f t="shared" si="7"/>
        <v>256262.32034947004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1813544.4444444445</v>
      </c>
      <c r="E22" s="164">
        <f t="shared" si="4"/>
        <v>50925</v>
      </c>
      <c r="F22" s="163">
        <f t="shared" si="5"/>
        <v>1762619.4444444445</v>
      </c>
      <c r="G22" s="165">
        <f t="shared" si="6"/>
        <v>250576.20640064223</v>
      </c>
      <c r="H22" s="147">
        <f t="shared" si="7"/>
        <v>250576.20640064223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1762619.4444444445</v>
      </c>
      <c r="E23" s="164">
        <f t="shared" si="4"/>
        <v>50925</v>
      </c>
      <c r="F23" s="163">
        <f t="shared" si="5"/>
        <v>1711694.4444444445</v>
      </c>
      <c r="G23" s="165">
        <f t="shared" si="6"/>
        <v>244890.09245181442</v>
      </c>
      <c r="H23" s="147">
        <f t="shared" si="7"/>
        <v>244890.09245181442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1711694.4444444445</v>
      </c>
      <c r="E24" s="164">
        <f t="shared" si="4"/>
        <v>50925</v>
      </c>
      <c r="F24" s="163">
        <f t="shared" si="5"/>
        <v>1660769.4444444445</v>
      </c>
      <c r="G24" s="165">
        <f t="shared" si="6"/>
        <v>239203.97850298663</v>
      </c>
      <c r="H24" s="147">
        <f t="shared" si="7"/>
        <v>239203.97850298663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1660769.4444444445</v>
      </c>
      <c r="E25" s="164">
        <f t="shared" si="4"/>
        <v>50925</v>
      </c>
      <c r="F25" s="163">
        <f t="shared" si="5"/>
        <v>1609844.4444444445</v>
      </c>
      <c r="G25" s="165">
        <f t="shared" si="6"/>
        <v>233517.86455415882</v>
      </c>
      <c r="H25" s="147">
        <f t="shared" si="7"/>
        <v>233517.86455415882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1609844.4444444445</v>
      </c>
      <c r="E26" s="164">
        <f t="shared" si="4"/>
        <v>50925</v>
      </c>
      <c r="F26" s="163">
        <f t="shared" si="5"/>
        <v>1558919.4444444445</v>
      </c>
      <c r="G26" s="165">
        <f t="shared" si="6"/>
        <v>227831.75060533101</v>
      </c>
      <c r="H26" s="147">
        <f t="shared" si="7"/>
        <v>227831.75060533101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1558919.4444444445</v>
      </c>
      <c r="E27" s="164">
        <f t="shared" si="4"/>
        <v>50925</v>
      </c>
      <c r="F27" s="163">
        <f t="shared" si="5"/>
        <v>1507994.4444444445</v>
      </c>
      <c r="G27" s="165">
        <f t="shared" si="6"/>
        <v>222145.63665650319</v>
      </c>
      <c r="H27" s="147">
        <f t="shared" si="7"/>
        <v>222145.63665650319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1507994.4444444445</v>
      </c>
      <c r="E28" s="164">
        <f t="shared" si="4"/>
        <v>50925</v>
      </c>
      <c r="F28" s="163">
        <f t="shared" si="5"/>
        <v>1457069.4444444445</v>
      </c>
      <c r="G28" s="165">
        <f t="shared" si="6"/>
        <v>216459.52270767538</v>
      </c>
      <c r="H28" s="147">
        <f t="shared" si="7"/>
        <v>216459.52270767538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1457069.4444444445</v>
      </c>
      <c r="E29" s="164">
        <f t="shared" si="4"/>
        <v>50925</v>
      </c>
      <c r="F29" s="163">
        <f t="shared" si="5"/>
        <v>1406144.4444444445</v>
      </c>
      <c r="G29" s="165">
        <f t="shared" si="6"/>
        <v>210773.40875884757</v>
      </c>
      <c r="H29" s="147">
        <f t="shared" si="7"/>
        <v>210773.40875884757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1406144.4444444445</v>
      </c>
      <c r="E30" s="164">
        <f t="shared" si="4"/>
        <v>50925</v>
      </c>
      <c r="F30" s="163">
        <f t="shared" si="5"/>
        <v>1355219.4444444445</v>
      </c>
      <c r="G30" s="165">
        <f t="shared" si="6"/>
        <v>205087.29481001978</v>
      </c>
      <c r="H30" s="147">
        <f t="shared" si="7"/>
        <v>205087.29481001978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1355219.4444444445</v>
      </c>
      <c r="E31" s="164">
        <f t="shared" si="4"/>
        <v>50925</v>
      </c>
      <c r="F31" s="163">
        <f t="shared" si="5"/>
        <v>1304294.4444444445</v>
      </c>
      <c r="G31" s="165">
        <f t="shared" si="6"/>
        <v>199401.18086119197</v>
      </c>
      <c r="H31" s="147">
        <f t="shared" si="7"/>
        <v>199401.18086119197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1304294.4444444445</v>
      </c>
      <c r="E32" s="164">
        <f t="shared" si="4"/>
        <v>50925</v>
      </c>
      <c r="F32" s="163">
        <f t="shared" si="5"/>
        <v>1253369.4444444445</v>
      </c>
      <c r="G32" s="165">
        <f t="shared" si="6"/>
        <v>193715.06691236416</v>
      </c>
      <c r="H32" s="147">
        <f t="shared" si="7"/>
        <v>193715.06691236416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1253369.4444444445</v>
      </c>
      <c r="E33" s="164">
        <f t="shared" si="4"/>
        <v>50925</v>
      </c>
      <c r="F33" s="163">
        <f t="shared" si="5"/>
        <v>1202444.4444444445</v>
      </c>
      <c r="G33" s="165">
        <f t="shared" si="6"/>
        <v>188028.95296353634</v>
      </c>
      <c r="H33" s="147">
        <f t="shared" si="7"/>
        <v>188028.95296353634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1202444.4444444445</v>
      </c>
      <c r="E34" s="164">
        <f t="shared" si="4"/>
        <v>50925</v>
      </c>
      <c r="F34" s="163">
        <f t="shared" si="5"/>
        <v>1151519.4444444445</v>
      </c>
      <c r="G34" s="165">
        <f t="shared" si="6"/>
        <v>182342.83901470853</v>
      </c>
      <c r="H34" s="147">
        <f t="shared" si="7"/>
        <v>182342.83901470853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1151519.4444444445</v>
      </c>
      <c r="E35" s="164">
        <f t="shared" si="4"/>
        <v>50925</v>
      </c>
      <c r="F35" s="163">
        <f t="shared" si="5"/>
        <v>1100594.4444444445</v>
      </c>
      <c r="G35" s="165">
        <f t="shared" si="6"/>
        <v>176656.72506588075</v>
      </c>
      <c r="H35" s="147">
        <f t="shared" si="7"/>
        <v>176656.72506588075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1100594.4444444445</v>
      </c>
      <c r="E36" s="164">
        <f t="shared" si="4"/>
        <v>50925</v>
      </c>
      <c r="F36" s="163">
        <f t="shared" si="5"/>
        <v>1049669.4444444445</v>
      </c>
      <c r="G36" s="165">
        <f t="shared" si="6"/>
        <v>170970.6111170529</v>
      </c>
      <c r="H36" s="147">
        <f t="shared" si="7"/>
        <v>170970.6111170529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1049669.4444444445</v>
      </c>
      <c r="E37" s="164">
        <f t="shared" si="4"/>
        <v>50925</v>
      </c>
      <c r="F37" s="163">
        <f t="shared" si="5"/>
        <v>998744.4444444445</v>
      </c>
      <c r="G37" s="165">
        <f t="shared" si="6"/>
        <v>165284.49716822512</v>
      </c>
      <c r="H37" s="147">
        <f t="shared" si="7"/>
        <v>165284.49716822512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998744.4444444445</v>
      </c>
      <c r="E38" s="164">
        <f t="shared" si="4"/>
        <v>50925</v>
      </c>
      <c r="F38" s="163">
        <f t="shared" si="5"/>
        <v>947819.4444444445</v>
      </c>
      <c r="G38" s="165">
        <f t="shared" si="6"/>
        <v>159598.38321939731</v>
      </c>
      <c r="H38" s="147">
        <f t="shared" si="7"/>
        <v>159598.38321939731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947819.4444444445</v>
      </c>
      <c r="E39" s="164">
        <f t="shared" si="4"/>
        <v>50925</v>
      </c>
      <c r="F39" s="163">
        <f t="shared" si="5"/>
        <v>896894.4444444445</v>
      </c>
      <c r="G39" s="165">
        <f t="shared" si="6"/>
        <v>153912.26927056949</v>
      </c>
      <c r="H39" s="147">
        <f t="shared" si="7"/>
        <v>153912.26927056949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896894.4444444445</v>
      </c>
      <c r="E40" s="164">
        <f t="shared" si="4"/>
        <v>50925</v>
      </c>
      <c r="F40" s="163">
        <f t="shared" si="5"/>
        <v>845969.4444444445</v>
      </c>
      <c r="G40" s="165">
        <f t="shared" si="6"/>
        <v>148226.15532174171</v>
      </c>
      <c r="H40" s="147">
        <f t="shared" si="7"/>
        <v>148226.15532174171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845969.4444444445</v>
      </c>
      <c r="E41" s="164">
        <f t="shared" si="4"/>
        <v>50925</v>
      </c>
      <c r="F41" s="163">
        <f t="shared" si="5"/>
        <v>795044.4444444445</v>
      </c>
      <c r="G41" s="165">
        <f t="shared" si="6"/>
        <v>142540.04137291387</v>
      </c>
      <c r="H41" s="147">
        <f t="shared" si="7"/>
        <v>142540.04137291387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795044.4444444445</v>
      </c>
      <c r="E42" s="164">
        <f t="shared" si="4"/>
        <v>50925</v>
      </c>
      <c r="F42" s="163">
        <f t="shared" si="5"/>
        <v>744119.4444444445</v>
      </c>
      <c r="G42" s="165">
        <f t="shared" si="6"/>
        <v>136853.92742408608</v>
      </c>
      <c r="H42" s="147">
        <f t="shared" si="7"/>
        <v>136853.92742408608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744119.4444444445</v>
      </c>
      <c r="E43" s="164">
        <f t="shared" si="4"/>
        <v>50925</v>
      </c>
      <c r="F43" s="163">
        <f t="shared" si="5"/>
        <v>693194.4444444445</v>
      </c>
      <c r="G43" s="165">
        <f t="shared" si="6"/>
        <v>131167.81347525827</v>
      </c>
      <c r="H43" s="147">
        <f t="shared" si="7"/>
        <v>131167.81347525827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693194.4444444445</v>
      </c>
      <c r="E44" s="164">
        <f t="shared" si="4"/>
        <v>50925</v>
      </c>
      <c r="F44" s="163">
        <f t="shared" si="5"/>
        <v>642269.4444444445</v>
      </c>
      <c r="G44" s="165">
        <f t="shared" si="6"/>
        <v>125481.69952643046</v>
      </c>
      <c r="H44" s="147">
        <f t="shared" si="7"/>
        <v>125481.69952643046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642269.4444444445</v>
      </c>
      <c r="E45" s="164">
        <f t="shared" si="4"/>
        <v>50925</v>
      </c>
      <c r="F45" s="163">
        <f t="shared" si="5"/>
        <v>591344.4444444445</v>
      </c>
      <c r="G45" s="165">
        <f t="shared" si="6"/>
        <v>119795.58557760264</v>
      </c>
      <c r="H45" s="147">
        <f t="shared" si="7"/>
        <v>119795.58557760264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591344.4444444445</v>
      </c>
      <c r="E46" s="164">
        <f t="shared" si="4"/>
        <v>50925</v>
      </c>
      <c r="F46" s="163">
        <f t="shared" si="5"/>
        <v>540419.4444444445</v>
      </c>
      <c r="G46" s="165">
        <f t="shared" si="6"/>
        <v>114109.47162877483</v>
      </c>
      <c r="H46" s="147">
        <f t="shared" si="7"/>
        <v>114109.47162877483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540419.4444444445</v>
      </c>
      <c r="E47" s="164">
        <f t="shared" si="4"/>
        <v>50925</v>
      </c>
      <c r="F47" s="163">
        <f t="shared" si="5"/>
        <v>489494.4444444445</v>
      </c>
      <c r="G47" s="165">
        <f t="shared" si="6"/>
        <v>108423.35767994703</v>
      </c>
      <c r="H47" s="147">
        <f t="shared" si="7"/>
        <v>108423.35767994703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489494.4444444445</v>
      </c>
      <c r="E48" s="164">
        <f t="shared" si="4"/>
        <v>50925</v>
      </c>
      <c r="F48" s="163">
        <f t="shared" si="5"/>
        <v>438569.4444444445</v>
      </c>
      <c r="G48" s="165">
        <f t="shared" si="6"/>
        <v>102737.24373111923</v>
      </c>
      <c r="H48" s="147">
        <f t="shared" si="7"/>
        <v>102737.24373111923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438569.4444444445</v>
      </c>
      <c r="E49" s="164">
        <f t="shared" si="4"/>
        <v>50925</v>
      </c>
      <c r="F49" s="163">
        <f t="shared" si="5"/>
        <v>387644.4444444445</v>
      </c>
      <c r="G49" s="165">
        <f t="shared" si="6"/>
        <v>97051.12978229142</v>
      </c>
      <c r="H49" s="147">
        <f t="shared" si="7"/>
        <v>97051.12978229142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387644.4444444445</v>
      </c>
      <c r="E50" s="164">
        <f t="shared" si="4"/>
        <v>50925</v>
      </c>
      <c r="F50" s="163">
        <f t="shared" si="5"/>
        <v>336719.4444444445</v>
      </c>
      <c r="G50" s="165">
        <f t="shared" si="6"/>
        <v>91365.015833463607</v>
      </c>
      <c r="H50" s="147">
        <f t="shared" si="7"/>
        <v>91365.015833463607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336719.4444444445</v>
      </c>
      <c r="E51" s="164">
        <f t="shared" si="4"/>
        <v>50925</v>
      </c>
      <c r="F51" s="163">
        <f t="shared" si="5"/>
        <v>285794.4444444445</v>
      </c>
      <c r="G51" s="165">
        <f t="shared" si="6"/>
        <v>85678.901884635794</v>
      </c>
      <c r="H51" s="147">
        <f t="shared" si="7"/>
        <v>85678.901884635794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285794.4444444445</v>
      </c>
      <c r="E52" s="164">
        <f t="shared" si="4"/>
        <v>50925</v>
      </c>
      <c r="F52" s="163">
        <f t="shared" si="5"/>
        <v>234869.4444444445</v>
      </c>
      <c r="G52" s="165">
        <f t="shared" si="6"/>
        <v>79992.787935807981</v>
      </c>
      <c r="H52" s="147">
        <f t="shared" si="7"/>
        <v>79992.787935807981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234869.4444444445</v>
      </c>
      <c r="E53" s="164">
        <f t="shared" si="4"/>
        <v>50925</v>
      </c>
      <c r="F53" s="163">
        <f t="shared" si="5"/>
        <v>183944.4444444445</v>
      </c>
      <c r="G53" s="165">
        <f t="shared" si="6"/>
        <v>74306.673986980182</v>
      </c>
      <c r="H53" s="147">
        <f t="shared" si="7"/>
        <v>74306.673986980182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183944.4444444445</v>
      </c>
      <c r="E54" s="164">
        <f t="shared" si="4"/>
        <v>50925</v>
      </c>
      <c r="F54" s="163">
        <f t="shared" si="5"/>
        <v>133019.4444444445</v>
      </c>
      <c r="G54" s="165">
        <f t="shared" si="6"/>
        <v>68620.560038152369</v>
      </c>
      <c r="H54" s="147">
        <f t="shared" si="7"/>
        <v>68620.560038152369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133019.4444444445</v>
      </c>
      <c r="E55" s="164">
        <f t="shared" si="4"/>
        <v>50925</v>
      </c>
      <c r="F55" s="163">
        <f t="shared" si="5"/>
        <v>82094.444444444496</v>
      </c>
      <c r="G55" s="165">
        <f t="shared" si="6"/>
        <v>62934.446089324563</v>
      </c>
      <c r="H55" s="147">
        <f t="shared" si="7"/>
        <v>62934.446089324563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82094.444444444496</v>
      </c>
      <c r="E56" s="164">
        <f t="shared" si="4"/>
        <v>50925</v>
      </c>
      <c r="F56" s="163">
        <f t="shared" si="5"/>
        <v>31169.444444444496</v>
      </c>
      <c r="G56" s="165">
        <f t="shared" si="6"/>
        <v>57248.332140496757</v>
      </c>
      <c r="H56" s="147">
        <f t="shared" si="7"/>
        <v>57248.332140496757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31169.444444444496</v>
      </c>
      <c r="E57" s="164">
        <f t="shared" si="4"/>
        <v>31169.444444444496</v>
      </c>
      <c r="F57" s="163">
        <f t="shared" si="5"/>
        <v>0</v>
      </c>
      <c r="G57" s="165">
        <f t="shared" si="6"/>
        <v>32909.582027485922</v>
      </c>
      <c r="H57" s="147">
        <f t="shared" si="7"/>
        <v>32909.582027485922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2037000</v>
      </c>
      <c r="F73" s="115"/>
      <c r="G73" s="115">
        <f>SUM(G17:G72)</f>
        <v>6604043.2732298151</v>
      </c>
      <c r="H73" s="115">
        <f>SUM(H17:H72)</f>
        <v>6604043.2732298151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23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Elk City 138 KV Move Load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2037000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44283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22141.5</v>
      </c>
      <c r="F99" s="163">
        <f>IF(D93=C99,+D92-E99,+D99-E99)</f>
        <v>2014858.5</v>
      </c>
      <c r="G99" s="218">
        <f>+(F99+D99)/2</f>
        <v>1007429.25</v>
      </c>
      <c r="H99" s="218">
        <f t="shared" ref="H99:H154" si="9">+J$94*G99+E99</f>
        <v>149936.44059625635</v>
      </c>
      <c r="I99" s="218">
        <f>+J$95*G99+E99</f>
        <v>149936.44059625635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2014858.5</v>
      </c>
      <c r="E100" s="164">
        <f>IF(+J$96&lt;F99,J$96,D100)</f>
        <v>44283</v>
      </c>
      <c r="F100" s="163">
        <f>+D100-E100</f>
        <v>1970575.5</v>
      </c>
      <c r="G100" s="163">
        <f>+(F100+D100)/2</f>
        <v>1992717</v>
      </c>
      <c r="H100" s="333">
        <f t="shared" si="9"/>
        <v>297064.17608770065</v>
      </c>
      <c r="I100" s="344">
        <f t="shared" ref="I100:I154" si="14">+J$95*G100+E100</f>
        <v>297064.17608770065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1970575.5</v>
      </c>
      <c r="E101" s="164">
        <f t="shared" ref="E101:E154" si="16">IF(+J$96&lt;F100,J$96,D101)</f>
        <v>44283</v>
      </c>
      <c r="F101" s="163">
        <f t="shared" ref="F101:F154" si="17">+D101-E101</f>
        <v>1926292.5</v>
      </c>
      <c r="G101" s="163">
        <f t="shared" ref="G101:G154" si="18">+(F101+D101)/2</f>
        <v>1948434</v>
      </c>
      <c r="H101" s="333">
        <f t="shared" si="9"/>
        <v>291446.76587807643</v>
      </c>
      <c r="I101" s="344">
        <f t="shared" si="14"/>
        <v>291446.76587807643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1926292.5</v>
      </c>
      <c r="E102" s="164">
        <f t="shared" si="16"/>
        <v>44283</v>
      </c>
      <c r="F102" s="163">
        <f t="shared" si="17"/>
        <v>1882009.5</v>
      </c>
      <c r="G102" s="163">
        <f t="shared" si="18"/>
        <v>1904151</v>
      </c>
      <c r="H102" s="333">
        <f t="shared" si="9"/>
        <v>285829.35566845228</v>
      </c>
      <c r="I102" s="344">
        <f t="shared" si="14"/>
        <v>285829.35566845228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1882009.5</v>
      </c>
      <c r="E103" s="164">
        <f t="shared" si="16"/>
        <v>44283</v>
      </c>
      <c r="F103" s="163">
        <f t="shared" si="17"/>
        <v>1837726.5</v>
      </c>
      <c r="G103" s="163">
        <f t="shared" si="18"/>
        <v>1859868</v>
      </c>
      <c r="H103" s="333">
        <f t="shared" si="9"/>
        <v>280211.94545882812</v>
      </c>
      <c r="I103" s="344">
        <f t="shared" si="14"/>
        <v>280211.94545882812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1837726.5</v>
      </c>
      <c r="E104" s="164">
        <f t="shared" si="16"/>
        <v>44283</v>
      </c>
      <c r="F104" s="163">
        <f t="shared" si="17"/>
        <v>1793443.5</v>
      </c>
      <c r="G104" s="163">
        <f t="shared" si="18"/>
        <v>1815585</v>
      </c>
      <c r="H104" s="333">
        <f t="shared" si="9"/>
        <v>274594.53524920391</v>
      </c>
      <c r="I104" s="344">
        <f t="shared" si="14"/>
        <v>274594.53524920391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1793443.5</v>
      </c>
      <c r="E105" s="164">
        <f t="shared" si="16"/>
        <v>44283</v>
      </c>
      <c r="F105" s="163">
        <f t="shared" si="17"/>
        <v>1749160.5</v>
      </c>
      <c r="G105" s="163">
        <f t="shared" si="18"/>
        <v>1771302</v>
      </c>
      <c r="H105" s="333">
        <f t="shared" si="9"/>
        <v>268977.12503957981</v>
      </c>
      <c r="I105" s="344">
        <f t="shared" si="14"/>
        <v>268977.12503957981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1749160.5</v>
      </c>
      <c r="E106" s="164">
        <f t="shared" si="16"/>
        <v>44283</v>
      </c>
      <c r="F106" s="163">
        <f t="shared" si="17"/>
        <v>1704877.5</v>
      </c>
      <c r="G106" s="163">
        <f t="shared" si="18"/>
        <v>1727019</v>
      </c>
      <c r="H106" s="333">
        <f t="shared" si="9"/>
        <v>263359.7148299556</v>
      </c>
      <c r="I106" s="344">
        <f t="shared" si="14"/>
        <v>263359.7148299556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1704877.5</v>
      </c>
      <c r="E107" s="164">
        <f t="shared" si="16"/>
        <v>44283</v>
      </c>
      <c r="F107" s="163">
        <f t="shared" si="17"/>
        <v>1660594.5</v>
      </c>
      <c r="G107" s="163">
        <f t="shared" si="18"/>
        <v>1682736</v>
      </c>
      <c r="H107" s="333">
        <f t="shared" si="9"/>
        <v>257742.30462033142</v>
      </c>
      <c r="I107" s="344">
        <f t="shared" si="14"/>
        <v>257742.30462033142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1660594.5</v>
      </c>
      <c r="E108" s="164">
        <f t="shared" si="16"/>
        <v>44283</v>
      </c>
      <c r="F108" s="163">
        <f t="shared" si="17"/>
        <v>1616311.5</v>
      </c>
      <c r="G108" s="163">
        <f t="shared" si="18"/>
        <v>1638453</v>
      </c>
      <c r="H108" s="333">
        <f t="shared" si="9"/>
        <v>252124.89441070726</v>
      </c>
      <c r="I108" s="344">
        <f t="shared" si="14"/>
        <v>252124.89441070726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1616311.5</v>
      </c>
      <c r="E109" s="164">
        <f t="shared" si="16"/>
        <v>44283</v>
      </c>
      <c r="F109" s="163">
        <f t="shared" si="17"/>
        <v>1572028.5</v>
      </c>
      <c r="G109" s="163">
        <f t="shared" si="18"/>
        <v>1594170</v>
      </c>
      <c r="H109" s="333">
        <f t="shared" si="9"/>
        <v>246507.48420108308</v>
      </c>
      <c r="I109" s="344">
        <f t="shared" si="14"/>
        <v>246507.48420108308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1572028.5</v>
      </c>
      <c r="E110" s="164">
        <f t="shared" si="16"/>
        <v>44283</v>
      </c>
      <c r="F110" s="163">
        <f t="shared" si="17"/>
        <v>1527745.5</v>
      </c>
      <c r="G110" s="163">
        <f t="shared" si="18"/>
        <v>1549887</v>
      </c>
      <c r="H110" s="333">
        <f t="shared" si="9"/>
        <v>240890.07399145892</v>
      </c>
      <c r="I110" s="344">
        <f t="shared" si="14"/>
        <v>240890.07399145892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1527745.5</v>
      </c>
      <c r="E111" s="164">
        <f t="shared" si="16"/>
        <v>44283</v>
      </c>
      <c r="F111" s="163">
        <f t="shared" si="17"/>
        <v>1483462.5</v>
      </c>
      <c r="G111" s="163">
        <f t="shared" si="18"/>
        <v>1505604</v>
      </c>
      <c r="H111" s="333">
        <f t="shared" si="9"/>
        <v>235272.66378183474</v>
      </c>
      <c r="I111" s="344">
        <f t="shared" si="14"/>
        <v>235272.66378183474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1483462.5</v>
      </c>
      <c r="E112" s="164">
        <f t="shared" si="16"/>
        <v>44283</v>
      </c>
      <c r="F112" s="163">
        <f t="shared" si="17"/>
        <v>1439179.5</v>
      </c>
      <c r="G112" s="163">
        <f t="shared" si="18"/>
        <v>1461321</v>
      </c>
      <c r="H112" s="333">
        <f t="shared" si="9"/>
        <v>229655.25357221058</v>
      </c>
      <c r="I112" s="344">
        <f t="shared" si="14"/>
        <v>229655.25357221058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1439179.5</v>
      </c>
      <c r="E113" s="164">
        <f t="shared" si="16"/>
        <v>44283</v>
      </c>
      <c r="F113" s="163">
        <f t="shared" si="17"/>
        <v>1394896.5</v>
      </c>
      <c r="G113" s="163">
        <f t="shared" si="18"/>
        <v>1417038</v>
      </c>
      <c r="H113" s="333">
        <f t="shared" si="9"/>
        <v>224037.8433625864</v>
      </c>
      <c r="I113" s="344">
        <f t="shared" si="14"/>
        <v>224037.8433625864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1394896.5</v>
      </c>
      <c r="E114" s="164">
        <f t="shared" si="16"/>
        <v>44283</v>
      </c>
      <c r="F114" s="163">
        <f t="shared" si="17"/>
        <v>1350613.5</v>
      </c>
      <c r="G114" s="163">
        <f t="shared" si="18"/>
        <v>1372755</v>
      </c>
      <c r="H114" s="333">
        <f t="shared" si="9"/>
        <v>218420.43315296224</v>
      </c>
      <c r="I114" s="344">
        <f t="shared" si="14"/>
        <v>218420.43315296224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1350613.5</v>
      </c>
      <c r="E115" s="164">
        <f t="shared" si="16"/>
        <v>44283</v>
      </c>
      <c r="F115" s="163">
        <f t="shared" si="17"/>
        <v>1306330.5</v>
      </c>
      <c r="G115" s="163">
        <f t="shared" si="18"/>
        <v>1328472</v>
      </c>
      <c r="H115" s="333">
        <f t="shared" si="9"/>
        <v>212803.02294333806</v>
      </c>
      <c r="I115" s="344">
        <f t="shared" si="14"/>
        <v>212803.02294333806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1306330.5</v>
      </c>
      <c r="E116" s="164">
        <f t="shared" si="16"/>
        <v>44283</v>
      </c>
      <c r="F116" s="163">
        <f t="shared" si="17"/>
        <v>1262047.5</v>
      </c>
      <c r="G116" s="163">
        <f t="shared" si="18"/>
        <v>1284189</v>
      </c>
      <c r="H116" s="333">
        <f t="shared" si="9"/>
        <v>207185.6127337139</v>
      </c>
      <c r="I116" s="344">
        <f t="shared" si="14"/>
        <v>207185.6127337139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1262047.5</v>
      </c>
      <c r="E117" s="164">
        <f t="shared" si="16"/>
        <v>44283</v>
      </c>
      <c r="F117" s="163">
        <f t="shared" si="17"/>
        <v>1217764.5</v>
      </c>
      <c r="G117" s="163">
        <f t="shared" si="18"/>
        <v>1239906</v>
      </c>
      <c r="H117" s="333">
        <f t="shared" si="9"/>
        <v>201568.20252408972</v>
      </c>
      <c r="I117" s="344">
        <f t="shared" si="14"/>
        <v>201568.20252408972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1217764.5</v>
      </c>
      <c r="E118" s="164">
        <f t="shared" si="16"/>
        <v>44283</v>
      </c>
      <c r="F118" s="163">
        <f t="shared" si="17"/>
        <v>1173481.5</v>
      </c>
      <c r="G118" s="163">
        <f t="shared" si="18"/>
        <v>1195623</v>
      </c>
      <c r="H118" s="333">
        <f t="shared" si="9"/>
        <v>195950.79231446557</v>
      </c>
      <c r="I118" s="344">
        <f t="shared" si="14"/>
        <v>195950.79231446557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1173481.5</v>
      </c>
      <c r="E119" s="164">
        <f t="shared" si="16"/>
        <v>44283</v>
      </c>
      <c r="F119" s="163">
        <f t="shared" si="17"/>
        <v>1129198.5</v>
      </c>
      <c r="G119" s="163">
        <f t="shared" si="18"/>
        <v>1151340</v>
      </c>
      <c r="H119" s="333">
        <f t="shared" si="9"/>
        <v>190333.38210484138</v>
      </c>
      <c r="I119" s="344">
        <f t="shared" si="14"/>
        <v>190333.38210484138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1129198.5</v>
      </c>
      <c r="E120" s="164">
        <f t="shared" si="16"/>
        <v>44283</v>
      </c>
      <c r="F120" s="163">
        <f t="shared" si="17"/>
        <v>1084915.5</v>
      </c>
      <c r="G120" s="163">
        <f t="shared" si="18"/>
        <v>1107057</v>
      </c>
      <c r="H120" s="333">
        <f t="shared" si="9"/>
        <v>184715.97189521723</v>
      </c>
      <c r="I120" s="344">
        <f t="shared" si="14"/>
        <v>184715.97189521723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1084915.5</v>
      </c>
      <c r="E121" s="164">
        <f t="shared" si="16"/>
        <v>44283</v>
      </c>
      <c r="F121" s="163">
        <f t="shared" si="17"/>
        <v>1040632.5</v>
      </c>
      <c r="G121" s="163">
        <f t="shared" si="18"/>
        <v>1062774</v>
      </c>
      <c r="H121" s="333">
        <f t="shared" si="9"/>
        <v>179098.56168559304</v>
      </c>
      <c r="I121" s="344">
        <f t="shared" si="14"/>
        <v>179098.56168559304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1040632.5</v>
      </c>
      <c r="E122" s="164">
        <f t="shared" si="16"/>
        <v>44283</v>
      </c>
      <c r="F122" s="163">
        <f t="shared" si="17"/>
        <v>996349.5</v>
      </c>
      <c r="G122" s="163">
        <f t="shared" si="18"/>
        <v>1018491</v>
      </c>
      <c r="H122" s="333">
        <f t="shared" si="9"/>
        <v>173481.15147596889</v>
      </c>
      <c r="I122" s="344">
        <f t="shared" si="14"/>
        <v>173481.15147596889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996349.5</v>
      </c>
      <c r="E123" s="164">
        <f t="shared" si="16"/>
        <v>44283</v>
      </c>
      <c r="F123" s="163">
        <f t="shared" si="17"/>
        <v>952066.5</v>
      </c>
      <c r="G123" s="163">
        <f t="shared" si="18"/>
        <v>974208</v>
      </c>
      <c r="H123" s="333">
        <f t="shared" si="9"/>
        <v>167863.74126634473</v>
      </c>
      <c r="I123" s="344">
        <f t="shared" si="14"/>
        <v>167863.74126634473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952066.5</v>
      </c>
      <c r="E124" s="164">
        <f t="shared" si="16"/>
        <v>44283</v>
      </c>
      <c r="F124" s="163">
        <f t="shared" si="17"/>
        <v>907783.5</v>
      </c>
      <c r="G124" s="163">
        <f t="shared" si="18"/>
        <v>929925</v>
      </c>
      <c r="H124" s="333">
        <f t="shared" si="9"/>
        <v>162246.33105672055</v>
      </c>
      <c r="I124" s="344">
        <f t="shared" si="14"/>
        <v>162246.33105672055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907783.5</v>
      </c>
      <c r="E125" s="164">
        <f t="shared" si="16"/>
        <v>44283</v>
      </c>
      <c r="F125" s="163">
        <f t="shared" si="17"/>
        <v>863500.5</v>
      </c>
      <c r="G125" s="163">
        <f t="shared" si="18"/>
        <v>885642</v>
      </c>
      <c r="H125" s="333">
        <f t="shared" si="9"/>
        <v>156628.92084709636</v>
      </c>
      <c r="I125" s="344">
        <f t="shared" si="14"/>
        <v>156628.92084709636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863500.5</v>
      </c>
      <c r="E126" s="164">
        <f t="shared" si="16"/>
        <v>44283</v>
      </c>
      <c r="F126" s="163">
        <f t="shared" si="17"/>
        <v>819217.5</v>
      </c>
      <c r="G126" s="163">
        <f t="shared" si="18"/>
        <v>841359</v>
      </c>
      <c r="H126" s="333">
        <f t="shared" si="9"/>
        <v>151011.51063747221</v>
      </c>
      <c r="I126" s="344">
        <f t="shared" si="14"/>
        <v>151011.51063747221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819217.5</v>
      </c>
      <c r="E127" s="164">
        <f t="shared" si="16"/>
        <v>44283</v>
      </c>
      <c r="F127" s="163">
        <f t="shared" si="17"/>
        <v>774934.5</v>
      </c>
      <c r="G127" s="163">
        <f t="shared" si="18"/>
        <v>797076</v>
      </c>
      <c r="H127" s="333">
        <f t="shared" si="9"/>
        <v>145394.10042784805</v>
      </c>
      <c r="I127" s="344">
        <f t="shared" si="14"/>
        <v>145394.10042784805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774934.5</v>
      </c>
      <c r="E128" s="164">
        <f t="shared" si="16"/>
        <v>44283</v>
      </c>
      <c r="F128" s="163">
        <f t="shared" si="17"/>
        <v>730651.5</v>
      </c>
      <c r="G128" s="163">
        <f t="shared" si="18"/>
        <v>752793</v>
      </c>
      <c r="H128" s="333">
        <f t="shared" si="9"/>
        <v>139776.69021822387</v>
      </c>
      <c r="I128" s="344">
        <f t="shared" si="14"/>
        <v>139776.69021822387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730651.5</v>
      </c>
      <c r="E129" s="164">
        <f t="shared" si="16"/>
        <v>44283</v>
      </c>
      <c r="F129" s="163">
        <f t="shared" si="17"/>
        <v>686368.5</v>
      </c>
      <c r="G129" s="163">
        <f t="shared" si="18"/>
        <v>708510</v>
      </c>
      <c r="H129" s="333">
        <f t="shared" si="9"/>
        <v>134159.28000859969</v>
      </c>
      <c r="I129" s="344">
        <f t="shared" si="14"/>
        <v>134159.28000859969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686368.5</v>
      </c>
      <c r="E130" s="164">
        <f t="shared" si="16"/>
        <v>44283</v>
      </c>
      <c r="F130" s="163">
        <f t="shared" si="17"/>
        <v>642085.5</v>
      </c>
      <c r="G130" s="163">
        <f t="shared" si="18"/>
        <v>664227</v>
      </c>
      <c r="H130" s="333">
        <f t="shared" si="9"/>
        <v>128541.86979897553</v>
      </c>
      <c r="I130" s="344">
        <f t="shared" si="14"/>
        <v>128541.86979897553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642085.5</v>
      </c>
      <c r="E131" s="164">
        <f t="shared" si="16"/>
        <v>44283</v>
      </c>
      <c r="F131" s="163">
        <f t="shared" si="17"/>
        <v>597802.5</v>
      </c>
      <c r="G131" s="163">
        <f t="shared" si="18"/>
        <v>619944</v>
      </c>
      <c r="H131" s="333">
        <f t="shared" si="9"/>
        <v>122924.45958935136</v>
      </c>
      <c r="I131" s="344">
        <f t="shared" si="14"/>
        <v>122924.45958935136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597802.5</v>
      </c>
      <c r="E132" s="164">
        <f t="shared" si="16"/>
        <v>44283</v>
      </c>
      <c r="F132" s="163">
        <f t="shared" si="17"/>
        <v>553519.5</v>
      </c>
      <c r="G132" s="163">
        <f t="shared" si="18"/>
        <v>575661</v>
      </c>
      <c r="H132" s="333">
        <f t="shared" si="9"/>
        <v>117307.04937972719</v>
      </c>
      <c r="I132" s="344">
        <f t="shared" si="14"/>
        <v>117307.04937972719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553519.5</v>
      </c>
      <c r="E133" s="164">
        <f t="shared" si="16"/>
        <v>44283</v>
      </c>
      <c r="F133" s="163">
        <f t="shared" si="17"/>
        <v>509236.5</v>
      </c>
      <c r="G133" s="163">
        <f t="shared" si="18"/>
        <v>531378</v>
      </c>
      <c r="H133" s="333">
        <f t="shared" si="9"/>
        <v>111689.63917010302</v>
      </c>
      <c r="I133" s="344">
        <f t="shared" si="14"/>
        <v>111689.63917010302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509236.5</v>
      </c>
      <c r="E134" s="164">
        <f t="shared" si="16"/>
        <v>44283</v>
      </c>
      <c r="F134" s="163">
        <f t="shared" si="17"/>
        <v>464953.5</v>
      </c>
      <c r="G134" s="163">
        <f t="shared" si="18"/>
        <v>487095</v>
      </c>
      <c r="H134" s="333">
        <f t="shared" si="9"/>
        <v>106072.22896047885</v>
      </c>
      <c r="I134" s="344">
        <f t="shared" si="14"/>
        <v>106072.22896047885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464953.5</v>
      </c>
      <c r="E135" s="164">
        <f t="shared" si="16"/>
        <v>44283</v>
      </c>
      <c r="F135" s="163">
        <f t="shared" si="17"/>
        <v>420670.5</v>
      </c>
      <c r="G135" s="163">
        <f t="shared" si="18"/>
        <v>442812</v>
      </c>
      <c r="H135" s="333">
        <f t="shared" si="9"/>
        <v>100454.81875085468</v>
      </c>
      <c r="I135" s="344">
        <f t="shared" si="14"/>
        <v>100454.81875085468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420670.5</v>
      </c>
      <c r="E136" s="164">
        <f t="shared" si="16"/>
        <v>44283</v>
      </c>
      <c r="F136" s="163">
        <f t="shared" si="17"/>
        <v>376387.5</v>
      </c>
      <c r="G136" s="163">
        <f t="shared" si="18"/>
        <v>398529</v>
      </c>
      <c r="H136" s="333">
        <f t="shared" si="9"/>
        <v>94837.408541230514</v>
      </c>
      <c r="I136" s="344">
        <f t="shared" si="14"/>
        <v>94837.408541230514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376387.5</v>
      </c>
      <c r="E137" s="164">
        <f t="shared" si="16"/>
        <v>44283</v>
      </c>
      <c r="F137" s="163">
        <f t="shared" si="17"/>
        <v>332104.5</v>
      </c>
      <c r="G137" s="163">
        <f t="shared" si="18"/>
        <v>354246</v>
      </c>
      <c r="H137" s="333">
        <f t="shared" si="9"/>
        <v>89219.998331606344</v>
      </c>
      <c r="I137" s="344">
        <f t="shared" si="14"/>
        <v>89219.998331606344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332104.5</v>
      </c>
      <c r="E138" s="164">
        <f t="shared" si="16"/>
        <v>44283</v>
      </c>
      <c r="F138" s="163">
        <f t="shared" si="17"/>
        <v>287821.5</v>
      </c>
      <c r="G138" s="163">
        <f t="shared" si="18"/>
        <v>309963</v>
      </c>
      <c r="H138" s="333">
        <f t="shared" si="9"/>
        <v>83602.588121982175</v>
      </c>
      <c r="I138" s="344">
        <f t="shared" si="14"/>
        <v>83602.588121982175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287821.5</v>
      </c>
      <c r="E139" s="164">
        <f t="shared" si="16"/>
        <v>44283</v>
      </c>
      <c r="F139" s="163">
        <f t="shared" si="17"/>
        <v>243538.5</v>
      </c>
      <c r="G139" s="163">
        <f t="shared" si="18"/>
        <v>265680</v>
      </c>
      <c r="H139" s="333">
        <f t="shared" si="9"/>
        <v>77985.177912357991</v>
      </c>
      <c r="I139" s="344">
        <f t="shared" si="14"/>
        <v>77985.177912357991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243538.5</v>
      </c>
      <c r="E140" s="164">
        <f t="shared" si="16"/>
        <v>44283</v>
      </c>
      <c r="F140" s="163">
        <f t="shared" si="17"/>
        <v>199255.5</v>
      </c>
      <c r="G140" s="163">
        <f t="shared" si="18"/>
        <v>221397</v>
      </c>
      <c r="H140" s="333">
        <f t="shared" si="9"/>
        <v>72367.767702733836</v>
      </c>
      <c r="I140" s="344">
        <f t="shared" si="14"/>
        <v>72367.767702733836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199255.5</v>
      </c>
      <c r="E141" s="164">
        <f t="shared" si="16"/>
        <v>44283</v>
      </c>
      <c r="F141" s="163">
        <f t="shared" si="17"/>
        <v>154972.5</v>
      </c>
      <c r="G141" s="163">
        <f t="shared" si="18"/>
        <v>177114</v>
      </c>
      <c r="H141" s="333">
        <f t="shared" si="9"/>
        <v>66750.357493109666</v>
      </c>
      <c r="I141" s="344">
        <f t="shared" si="14"/>
        <v>66750.357493109666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154972.5</v>
      </c>
      <c r="E142" s="164">
        <f t="shared" si="16"/>
        <v>44283</v>
      </c>
      <c r="F142" s="163">
        <f t="shared" si="17"/>
        <v>110689.5</v>
      </c>
      <c r="G142" s="163">
        <f t="shared" si="18"/>
        <v>132831</v>
      </c>
      <c r="H142" s="333">
        <f t="shared" si="9"/>
        <v>61132.947283485497</v>
      </c>
      <c r="I142" s="344">
        <f t="shared" si="14"/>
        <v>61132.947283485497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110689.5</v>
      </c>
      <c r="E143" s="164">
        <f t="shared" si="16"/>
        <v>44283</v>
      </c>
      <c r="F143" s="163">
        <f t="shared" si="17"/>
        <v>66406.5</v>
      </c>
      <c r="G143" s="163">
        <f t="shared" si="18"/>
        <v>88548</v>
      </c>
      <c r="H143" s="333">
        <f t="shared" si="9"/>
        <v>55515.537073861327</v>
      </c>
      <c r="I143" s="344">
        <f t="shared" si="14"/>
        <v>55515.537073861327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66406.5</v>
      </c>
      <c r="E144" s="164">
        <f t="shared" si="16"/>
        <v>44283</v>
      </c>
      <c r="F144" s="163">
        <f t="shared" si="17"/>
        <v>22123.5</v>
      </c>
      <c r="G144" s="163">
        <f t="shared" si="18"/>
        <v>44265</v>
      </c>
      <c r="H144" s="333">
        <f t="shared" si="9"/>
        <v>49898.126864237151</v>
      </c>
      <c r="I144" s="344">
        <f t="shared" si="14"/>
        <v>49898.126864237151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22123.5</v>
      </c>
      <c r="E145" s="164">
        <f t="shared" si="16"/>
        <v>22123.5</v>
      </c>
      <c r="F145" s="163">
        <f t="shared" si="17"/>
        <v>0</v>
      </c>
      <c r="G145" s="163">
        <f t="shared" si="18"/>
        <v>11061.75</v>
      </c>
      <c r="H145" s="333">
        <f t="shared" si="9"/>
        <v>23526.710879712533</v>
      </c>
      <c r="I145" s="344">
        <f t="shared" si="14"/>
        <v>23526.710879712533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2037000</v>
      </c>
      <c r="F155" s="115"/>
      <c r="G155" s="115"/>
      <c r="H155" s="115">
        <f>SUM(H99:H154)</f>
        <v>7980114.9678945681</v>
      </c>
      <c r="I155" s="115">
        <f>SUM(I99:I154)</f>
        <v>7980114.9678945681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55" zoomScale="78" zoomScaleNormal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24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73419.565193351213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73419.565193351213</v>
      </c>
      <c r="O6" s="1"/>
      <c r="P6" s="1"/>
    </row>
    <row r="7" spans="1:16" ht="13.5" thickBot="1">
      <c r="C7" s="127" t="s">
        <v>41</v>
      </c>
      <c r="D7" s="227" t="s">
        <v>289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299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557000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13925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66">
        <v>0</v>
      </c>
      <c r="E17" s="469">
        <v>11600</v>
      </c>
      <c r="F17" s="467">
        <v>1032400</v>
      </c>
      <c r="G17" s="469">
        <v>73419.565193351213</v>
      </c>
      <c r="H17" s="468">
        <v>73419.565193351213</v>
      </c>
      <c r="I17" s="160">
        <f t="shared" ref="I17:I72" si="0">H17-G17</f>
        <v>0</v>
      </c>
      <c r="J17" s="160"/>
      <c r="K17" s="337">
        <f>+G17</f>
        <v>73419.565193351213</v>
      </c>
      <c r="L17" s="161">
        <f t="shared" ref="L17:L72" si="1">IF(K17&lt;&gt;0,+G17-K17,0)</f>
        <v>0</v>
      </c>
      <c r="M17" s="337">
        <f>+H17</f>
        <v>73419.565193351213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2020</v>
      </c>
      <c r="D18" s="166">
        <f>IF(F17+SUM(E$17:E17)=D$10,F17,D$10-SUM(E$17:E17))</f>
        <v>545400</v>
      </c>
      <c r="E18" s="164">
        <f t="shared" ref="E18:E72" si="4">IF(+I$14&lt;F17,I$14,D18)</f>
        <v>13925</v>
      </c>
      <c r="F18" s="163">
        <f t="shared" ref="F18:F72" si="5">+D18-E18</f>
        <v>531475</v>
      </c>
      <c r="G18" s="165">
        <f t="shared" ref="G18:G72" si="6">(D18+F18)/2*I$12+E18</f>
        <v>74045.117414275359</v>
      </c>
      <c r="H18" s="147">
        <f t="shared" ref="H18:H72" si="7">+(D18+F18)/2*I$13+E18</f>
        <v>74045.117414275359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531475</v>
      </c>
      <c r="E19" s="164">
        <f t="shared" si="4"/>
        <v>13925</v>
      </c>
      <c r="F19" s="163">
        <f t="shared" si="5"/>
        <v>517550</v>
      </c>
      <c r="G19" s="165">
        <f t="shared" si="6"/>
        <v>72490.298823456964</v>
      </c>
      <c r="H19" s="147">
        <f t="shared" si="7"/>
        <v>72490.298823456964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2022</v>
      </c>
      <c r="D20" s="166">
        <f>IF(F19+SUM(E$17:E19)=D$10,F19,D$10-SUM(E$17:E19))</f>
        <v>517550</v>
      </c>
      <c r="E20" s="164">
        <f t="shared" si="4"/>
        <v>13925</v>
      </c>
      <c r="F20" s="163">
        <f t="shared" si="5"/>
        <v>503625</v>
      </c>
      <c r="G20" s="165">
        <f t="shared" si="6"/>
        <v>70935.480232638554</v>
      </c>
      <c r="H20" s="147">
        <f t="shared" si="7"/>
        <v>70935.480232638554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2023</v>
      </c>
      <c r="D21" s="166">
        <f>IF(F20+SUM(E$17:E20)=D$10,F20,D$10-SUM(E$17:E20))</f>
        <v>503625</v>
      </c>
      <c r="E21" s="164">
        <f t="shared" si="4"/>
        <v>13925</v>
      </c>
      <c r="F21" s="163">
        <f t="shared" si="5"/>
        <v>489700</v>
      </c>
      <c r="G21" s="165">
        <f t="shared" si="6"/>
        <v>69380.661641820159</v>
      </c>
      <c r="H21" s="147">
        <f t="shared" si="7"/>
        <v>69380.661641820159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2024</v>
      </c>
      <c r="D22" s="166">
        <f>IF(F21+SUM(E$17:E21)=D$10,F21,D$10-SUM(E$17:E21))</f>
        <v>489700</v>
      </c>
      <c r="E22" s="164">
        <f t="shared" si="4"/>
        <v>13925</v>
      </c>
      <c r="F22" s="163">
        <f t="shared" si="5"/>
        <v>475775</v>
      </c>
      <c r="G22" s="165">
        <f t="shared" si="6"/>
        <v>67825.84305100175</v>
      </c>
      <c r="H22" s="147">
        <f t="shared" si="7"/>
        <v>67825.84305100175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2025</v>
      </c>
      <c r="D23" s="166">
        <f>IF(F22+SUM(E$17:E22)=D$10,F22,D$10-SUM(E$17:E22))</f>
        <v>475775</v>
      </c>
      <c r="E23" s="164">
        <f t="shared" si="4"/>
        <v>13925</v>
      </c>
      <c r="F23" s="163">
        <f t="shared" si="5"/>
        <v>461850</v>
      </c>
      <c r="G23" s="165">
        <f t="shared" si="6"/>
        <v>66271.02446018334</v>
      </c>
      <c r="H23" s="147">
        <f t="shared" si="7"/>
        <v>66271.02446018334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2026</v>
      </c>
      <c r="D24" s="166">
        <f>IF(F23+SUM(E$17:E23)=D$10,F23,D$10-SUM(E$17:E23))</f>
        <v>461850</v>
      </c>
      <c r="E24" s="164">
        <f t="shared" si="4"/>
        <v>13925</v>
      </c>
      <c r="F24" s="163">
        <f t="shared" si="5"/>
        <v>447925</v>
      </c>
      <c r="G24" s="165">
        <f t="shared" si="6"/>
        <v>64716.205869364938</v>
      </c>
      <c r="H24" s="147">
        <f t="shared" si="7"/>
        <v>64716.205869364938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2027</v>
      </c>
      <c r="D25" s="166">
        <f>IF(F24+SUM(E$17:E24)=D$10,F24,D$10-SUM(E$17:E24))</f>
        <v>447925</v>
      </c>
      <c r="E25" s="164">
        <f t="shared" si="4"/>
        <v>13925</v>
      </c>
      <c r="F25" s="163">
        <f t="shared" si="5"/>
        <v>434000</v>
      </c>
      <c r="G25" s="165">
        <f t="shared" si="6"/>
        <v>63161.387278546536</v>
      </c>
      <c r="H25" s="147">
        <f t="shared" si="7"/>
        <v>63161.387278546536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2028</v>
      </c>
      <c r="D26" s="166">
        <f>IF(F25+SUM(E$17:E25)=D$10,F25,D$10-SUM(E$17:E25))</f>
        <v>434000</v>
      </c>
      <c r="E26" s="164">
        <f t="shared" si="4"/>
        <v>13925</v>
      </c>
      <c r="F26" s="163">
        <f t="shared" si="5"/>
        <v>420075</v>
      </c>
      <c r="G26" s="165">
        <f t="shared" si="6"/>
        <v>61606.568687728133</v>
      </c>
      <c r="H26" s="147">
        <f t="shared" si="7"/>
        <v>61606.568687728133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2029</v>
      </c>
      <c r="D27" s="166">
        <f>IF(F26+SUM(E$17:E26)=D$10,F26,D$10-SUM(E$17:E26))</f>
        <v>420075</v>
      </c>
      <c r="E27" s="164">
        <f t="shared" si="4"/>
        <v>13925</v>
      </c>
      <c r="F27" s="163">
        <f t="shared" si="5"/>
        <v>406150</v>
      </c>
      <c r="G27" s="165">
        <f t="shared" si="6"/>
        <v>60051.750096909731</v>
      </c>
      <c r="H27" s="147">
        <f t="shared" si="7"/>
        <v>60051.750096909731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2030</v>
      </c>
      <c r="D28" s="166">
        <f>IF(F27+SUM(E$17:E27)=D$10,F27,D$10-SUM(E$17:E27))</f>
        <v>406150</v>
      </c>
      <c r="E28" s="164">
        <f t="shared" si="4"/>
        <v>13925</v>
      </c>
      <c r="F28" s="163">
        <f t="shared" si="5"/>
        <v>392225</v>
      </c>
      <c r="G28" s="165">
        <f t="shared" si="6"/>
        <v>58496.931506091321</v>
      </c>
      <c r="H28" s="147">
        <f t="shared" si="7"/>
        <v>58496.931506091321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2031</v>
      </c>
      <c r="D29" s="166">
        <f>IF(F28+SUM(E$17:E28)=D$10,F28,D$10-SUM(E$17:E28))</f>
        <v>392225</v>
      </c>
      <c r="E29" s="164">
        <f t="shared" si="4"/>
        <v>13925</v>
      </c>
      <c r="F29" s="163">
        <f t="shared" si="5"/>
        <v>378300</v>
      </c>
      <c r="G29" s="165">
        <f t="shared" si="6"/>
        <v>56942.112915272919</v>
      </c>
      <c r="H29" s="147">
        <f t="shared" si="7"/>
        <v>56942.112915272919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2032</v>
      </c>
      <c r="D30" s="166">
        <f>IF(F29+SUM(E$17:E29)=D$10,F29,D$10-SUM(E$17:E29))</f>
        <v>378300</v>
      </c>
      <c r="E30" s="164">
        <f t="shared" si="4"/>
        <v>13925</v>
      </c>
      <c r="F30" s="163">
        <f t="shared" si="5"/>
        <v>364375</v>
      </c>
      <c r="G30" s="165">
        <f t="shared" si="6"/>
        <v>55387.294324454517</v>
      </c>
      <c r="H30" s="147">
        <f t="shared" si="7"/>
        <v>55387.294324454517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2033</v>
      </c>
      <c r="D31" s="166">
        <f>IF(F30+SUM(E$17:E30)=D$10,F30,D$10-SUM(E$17:E30))</f>
        <v>364375</v>
      </c>
      <c r="E31" s="164">
        <f t="shared" si="4"/>
        <v>13925</v>
      </c>
      <c r="F31" s="163">
        <f t="shared" si="5"/>
        <v>350450</v>
      </c>
      <c r="G31" s="165">
        <f t="shared" si="6"/>
        <v>53832.475733636114</v>
      </c>
      <c r="H31" s="147">
        <f t="shared" si="7"/>
        <v>53832.475733636114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2034</v>
      </c>
      <c r="D32" s="166">
        <f>IF(F31+SUM(E$17:E31)=D$10,F31,D$10-SUM(E$17:E31))</f>
        <v>350450</v>
      </c>
      <c r="E32" s="164">
        <f t="shared" si="4"/>
        <v>13925</v>
      </c>
      <c r="F32" s="163">
        <f t="shared" si="5"/>
        <v>336525</v>
      </c>
      <c r="G32" s="165">
        <f t="shared" si="6"/>
        <v>52277.657142817705</v>
      </c>
      <c r="H32" s="147">
        <f t="shared" si="7"/>
        <v>52277.657142817705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2035</v>
      </c>
      <c r="D33" s="166">
        <f>IF(F32+SUM(E$17:E32)=D$10,F32,D$10-SUM(E$17:E32))</f>
        <v>336525</v>
      </c>
      <c r="E33" s="164">
        <f t="shared" si="4"/>
        <v>13925</v>
      </c>
      <c r="F33" s="163">
        <f t="shared" si="5"/>
        <v>322600</v>
      </c>
      <c r="G33" s="165">
        <f t="shared" si="6"/>
        <v>50722.838551999303</v>
      </c>
      <c r="H33" s="147">
        <f t="shared" si="7"/>
        <v>50722.838551999303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2036</v>
      </c>
      <c r="D34" s="166">
        <f>IF(F33+SUM(E$17:E33)=D$10,F33,D$10-SUM(E$17:E33))</f>
        <v>322600</v>
      </c>
      <c r="E34" s="164">
        <f t="shared" si="4"/>
        <v>13925</v>
      </c>
      <c r="F34" s="163">
        <f t="shared" si="5"/>
        <v>308675</v>
      </c>
      <c r="G34" s="165">
        <f t="shared" si="6"/>
        <v>49168.0199611809</v>
      </c>
      <c r="H34" s="147">
        <f t="shared" si="7"/>
        <v>49168.0199611809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2037</v>
      </c>
      <c r="D35" s="166">
        <f>IF(F34+SUM(E$17:E34)=D$10,F34,D$10-SUM(E$17:E34))</f>
        <v>308675</v>
      </c>
      <c r="E35" s="164">
        <f t="shared" si="4"/>
        <v>13925</v>
      </c>
      <c r="F35" s="163">
        <f t="shared" si="5"/>
        <v>294750</v>
      </c>
      <c r="G35" s="165">
        <f t="shared" si="6"/>
        <v>47613.201370362498</v>
      </c>
      <c r="H35" s="147">
        <f t="shared" si="7"/>
        <v>47613.201370362498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2038</v>
      </c>
      <c r="D36" s="166">
        <f>IF(F35+SUM(E$17:E35)=D$10,F35,D$10-SUM(E$17:E35))</f>
        <v>294750</v>
      </c>
      <c r="E36" s="164">
        <f t="shared" si="4"/>
        <v>13925</v>
      </c>
      <c r="F36" s="163">
        <f t="shared" si="5"/>
        <v>280825</v>
      </c>
      <c r="G36" s="165">
        <f t="shared" si="6"/>
        <v>46058.382779544088</v>
      </c>
      <c r="H36" s="147">
        <f t="shared" si="7"/>
        <v>46058.382779544088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2039</v>
      </c>
      <c r="D37" s="166">
        <f>IF(F36+SUM(E$17:E36)=D$10,F36,D$10-SUM(E$17:E36))</f>
        <v>280825</v>
      </c>
      <c r="E37" s="164">
        <f t="shared" si="4"/>
        <v>13925</v>
      </c>
      <c r="F37" s="163">
        <f t="shared" si="5"/>
        <v>266900</v>
      </c>
      <c r="G37" s="165">
        <f t="shared" si="6"/>
        <v>44503.564188725686</v>
      </c>
      <c r="H37" s="147">
        <f t="shared" si="7"/>
        <v>44503.564188725686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2040</v>
      </c>
      <c r="D38" s="166">
        <f>IF(F37+SUM(E$17:E37)=D$10,F37,D$10-SUM(E$17:E37))</f>
        <v>266900</v>
      </c>
      <c r="E38" s="164">
        <f t="shared" si="4"/>
        <v>13925</v>
      </c>
      <c r="F38" s="163">
        <f t="shared" si="5"/>
        <v>252975</v>
      </c>
      <c r="G38" s="165">
        <f t="shared" si="6"/>
        <v>42948.745597907284</v>
      </c>
      <c r="H38" s="147">
        <f t="shared" si="7"/>
        <v>42948.745597907284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2041</v>
      </c>
      <c r="D39" s="166">
        <f>IF(F38+SUM(E$17:E38)=D$10,F38,D$10-SUM(E$17:E38))</f>
        <v>252975</v>
      </c>
      <c r="E39" s="164">
        <f t="shared" si="4"/>
        <v>13925</v>
      </c>
      <c r="F39" s="163">
        <f t="shared" si="5"/>
        <v>239050</v>
      </c>
      <c r="G39" s="165">
        <f t="shared" si="6"/>
        <v>41393.927007088874</v>
      </c>
      <c r="H39" s="147">
        <f t="shared" si="7"/>
        <v>41393.927007088874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2042</v>
      </c>
      <c r="D40" s="166">
        <f>IF(F39+SUM(E$17:E39)=D$10,F39,D$10-SUM(E$17:E39))</f>
        <v>239050</v>
      </c>
      <c r="E40" s="164">
        <f t="shared" si="4"/>
        <v>13925</v>
      </c>
      <c r="F40" s="163">
        <f t="shared" si="5"/>
        <v>225125</v>
      </c>
      <c r="G40" s="165">
        <f t="shared" si="6"/>
        <v>39839.108416270479</v>
      </c>
      <c r="H40" s="147">
        <f t="shared" si="7"/>
        <v>39839.108416270479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2043</v>
      </c>
      <c r="D41" s="166">
        <f>IF(F40+SUM(E$17:E40)=D$10,F40,D$10-SUM(E$17:E40))</f>
        <v>225125</v>
      </c>
      <c r="E41" s="164">
        <f t="shared" si="4"/>
        <v>13925</v>
      </c>
      <c r="F41" s="163">
        <f t="shared" si="5"/>
        <v>211200</v>
      </c>
      <c r="G41" s="165">
        <f t="shared" si="6"/>
        <v>38284.28982545207</v>
      </c>
      <c r="H41" s="147">
        <f t="shared" si="7"/>
        <v>38284.28982545207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2044</v>
      </c>
      <c r="D42" s="166">
        <f>IF(F41+SUM(E$17:E41)=D$10,F41,D$10-SUM(E$17:E41))</f>
        <v>211200</v>
      </c>
      <c r="E42" s="164">
        <f t="shared" si="4"/>
        <v>13925</v>
      </c>
      <c r="F42" s="163">
        <f t="shared" si="5"/>
        <v>197275</v>
      </c>
      <c r="G42" s="165">
        <f t="shared" si="6"/>
        <v>36729.471234633667</v>
      </c>
      <c r="H42" s="147">
        <f t="shared" si="7"/>
        <v>36729.471234633667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2045</v>
      </c>
      <c r="D43" s="166">
        <f>IF(F42+SUM(E$17:E42)=D$10,F42,D$10-SUM(E$17:E42))</f>
        <v>197275</v>
      </c>
      <c r="E43" s="164">
        <f t="shared" si="4"/>
        <v>13925</v>
      </c>
      <c r="F43" s="163">
        <f t="shared" si="5"/>
        <v>183350</v>
      </c>
      <c r="G43" s="165">
        <f t="shared" si="6"/>
        <v>35174.652643815265</v>
      </c>
      <c r="H43" s="147">
        <f t="shared" si="7"/>
        <v>35174.652643815265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2046</v>
      </c>
      <c r="D44" s="166">
        <f>IF(F43+SUM(E$17:E43)=D$10,F43,D$10-SUM(E$17:E43))</f>
        <v>183350</v>
      </c>
      <c r="E44" s="164">
        <f t="shared" si="4"/>
        <v>13925</v>
      </c>
      <c r="F44" s="163">
        <f t="shared" si="5"/>
        <v>169425</v>
      </c>
      <c r="G44" s="165">
        <f t="shared" si="6"/>
        <v>33619.834052996855</v>
      </c>
      <c r="H44" s="147">
        <f t="shared" si="7"/>
        <v>33619.834052996855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2047</v>
      </c>
      <c r="D45" s="166">
        <f>IF(F44+SUM(E$17:E44)=D$10,F44,D$10-SUM(E$17:E44))</f>
        <v>169425</v>
      </c>
      <c r="E45" s="164">
        <f t="shared" si="4"/>
        <v>13925</v>
      </c>
      <c r="F45" s="163">
        <f t="shared" si="5"/>
        <v>155500</v>
      </c>
      <c r="G45" s="165">
        <f t="shared" si="6"/>
        <v>32065.015462178453</v>
      </c>
      <c r="H45" s="147">
        <f t="shared" si="7"/>
        <v>32065.015462178453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2048</v>
      </c>
      <c r="D46" s="166">
        <f>IF(F45+SUM(E$17:E45)=D$10,F45,D$10-SUM(E$17:E45))</f>
        <v>155500</v>
      </c>
      <c r="E46" s="164">
        <f t="shared" si="4"/>
        <v>13925</v>
      </c>
      <c r="F46" s="163">
        <f t="shared" si="5"/>
        <v>141575</v>
      </c>
      <c r="G46" s="165">
        <f t="shared" si="6"/>
        <v>30510.196871360051</v>
      </c>
      <c r="H46" s="147">
        <f t="shared" si="7"/>
        <v>30510.196871360051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2049</v>
      </c>
      <c r="D47" s="166">
        <f>IF(F46+SUM(E$17:E46)=D$10,F46,D$10-SUM(E$17:E46))</f>
        <v>141575</v>
      </c>
      <c r="E47" s="164">
        <f t="shared" si="4"/>
        <v>13925</v>
      </c>
      <c r="F47" s="163">
        <f t="shared" si="5"/>
        <v>127650</v>
      </c>
      <c r="G47" s="165">
        <f t="shared" si="6"/>
        <v>28955.378280541649</v>
      </c>
      <c r="H47" s="147">
        <f t="shared" si="7"/>
        <v>28955.378280541649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2050</v>
      </c>
      <c r="D48" s="166">
        <f>IF(F47+SUM(E$17:E47)=D$10,F47,D$10-SUM(E$17:E47))</f>
        <v>127650</v>
      </c>
      <c r="E48" s="164">
        <f t="shared" si="4"/>
        <v>13925</v>
      </c>
      <c r="F48" s="163">
        <f t="shared" si="5"/>
        <v>113725</v>
      </c>
      <c r="G48" s="165">
        <f t="shared" si="6"/>
        <v>27400.559689723243</v>
      </c>
      <c r="H48" s="147">
        <f t="shared" si="7"/>
        <v>27400.559689723243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2051</v>
      </c>
      <c r="D49" s="166">
        <f>IF(F48+SUM(E$17:E48)=D$10,F48,D$10-SUM(E$17:E48))</f>
        <v>113725</v>
      </c>
      <c r="E49" s="164">
        <f t="shared" si="4"/>
        <v>13925</v>
      </c>
      <c r="F49" s="163">
        <f t="shared" si="5"/>
        <v>99800</v>
      </c>
      <c r="G49" s="165">
        <f t="shared" si="6"/>
        <v>25845.741098904837</v>
      </c>
      <c r="H49" s="147">
        <f t="shared" si="7"/>
        <v>25845.741098904837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2052</v>
      </c>
      <c r="D50" s="166">
        <f>IF(F49+SUM(E$17:E49)=D$10,F49,D$10-SUM(E$17:E49))</f>
        <v>99800</v>
      </c>
      <c r="E50" s="164">
        <f t="shared" si="4"/>
        <v>13925</v>
      </c>
      <c r="F50" s="163">
        <f t="shared" si="5"/>
        <v>85875</v>
      </c>
      <c r="G50" s="165">
        <f t="shared" si="6"/>
        <v>24290.922508086434</v>
      </c>
      <c r="H50" s="147">
        <f t="shared" si="7"/>
        <v>24290.922508086434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2053</v>
      </c>
      <c r="D51" s="166">
        <f>IF(F50+SUM(E$17:E50)=D$10,F50,D$10-SUM(E$17:E50))</f>
        <v>85875</v>
      </c>
      <c r="E51" s="164">
        <f t="shared" si="4"/>
        <v>13925</v>
      </c>
      <c r="F51" s="163">
        <f t="shared" si="5"/>
        <v>71950</v>
      </c>
      <c r="G51" s="165">
        <f t="shared" si="6"/>
        <v>22736.103917268032</v>
      </c>
      <c r="H51" s="147">
        <f t="shared" si="7"/>
        <v>22736.103917268032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2054</v>
      </c>
      <c r="D52" s="166">
        <f>IF(F51+SUM(E$17:E51)=D$10,F51,D$10-SUM(E$17:E51))</f>
        <v>71950</v>
      </c>
      <c r="E52" s="164">
        <f t="shared" si="4"/>
        <v>13925</v>
      </c>
      <c r="F52" s="163">
        <f t="shared" si="5"/>
        <v>58025</v>
      </c>
      <c r="G52" s="165">
        <f t="shared" si="6"/>
        <v>21181.285326449626</v>
      </c>
      <c r="H52" s="147">
        <f t="shared" si="7"/>
        <v>21181.285326449626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2055</v>
      </c>
      <c r="D53" s="166">
        <f>IF(F52+SUM(E$17:E52)=D$10,F52,D$10-SUM(E$17:E52))</f>
        <v>58025</v>
      </c>
      <c r="E53" s="164">
        <f t="shared" si="4"/>
        <v>13925</v>
      </c>
      <c r="F53" s="163">
        <f t="shared" si="5"/>
        <v>44100</v>
      </c>
      <c r="G53" s="165">
        <f t="shared" si="6"/>
        <v>19626.46673563122</v>
      </c>
      <c r="H53" s="147">
        <f t="shared" si="7"/>
        <v>19626.46673563122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2056</v>
      </c>
      <c r="D54" s="166">
        <f>IF(F53+SUM(E$17:E53)=D$10,F53,D$10-SUM(E$17:E53))</f>
        <v>44100</v>
      </c>
      <c r="E54" s="164">
        <f t="shared" si="4"/>
        <v>13925</v>
      </c>
      <c r="F54" s="163">
        <f t="shared" si="5"/>
        <v>30175</v>
      </c>
      <c r="G54" s="165">
        <f t="shared" si="6"/>
        <v>18071.648144812818</v>
      </c>
      <c r="H54" s="147">
        <f t="shared" si="7"/>
        <v>18071.648144812818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2057</v>
      </c>
      <c r="D55" s="166">
        <f>IF(F54+SUM(E$17:E54)=D$10,F54,D$10-SUM(E$17:E54))</f>
        <v>30175</v>
      </c>
      <c r="E55" s="164">
        <f t="shared" si="4"/>
        <v>13925</v>
      </c>
      <c r="F55" s="163">
        <f t="shared" si="5"/>
        <v>16250</v>
      </c>
      <c r="G55" s="165">
        <f t="shared" si="6"/>
        <v>16516.829553994412</v>
      </c>
      <c r="H55" s="147">
        <f t="shared" si="7"/>
        <v>16516.829553994412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2058</v>
      </c>
      <c r="D56" s="166">
        <f>IF(F55+SUM(E$17:E55)=D$10,F55,D$10-SUM(E$17:E55))</f>
        <v>16250</v>
      </c>
      <c r="E56" s="164">
        <f t="shared" si="4"/>
        <v>13925</v>
      </c>
      <c r="F56" s="163">
        <f t="shared" si="5"/>
        <v>2325</v>
      </c>
      <c r="G56" s="165">
        <f t="shared" si="6"/>
        <v>14962.01096317601</v>
      </c>
      <c r="H56" s="147">
        <f t="shared" si="7"/>
        <v>14962.01096317601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2059</v>
      </c>
      <c r="D57" s="166">
        <f>IF(F56+SUM(E$17:E56)=D$10,F56,D$10-SUM(E$17:E56))</f>
        <v>2325</v>
      </c>
      <c r="E57" s="164">
        <f t="shared" si="4"/>
        <v>2325</v>
      </c>
      <c r="F57" s="163">
        <f t="shared" si="5"/>
        <v>0</v>
      </c>
      <c r="G57" s="165">
        <f t="shared" si="6"/>
        <v>2454.8008338834034</v>
      </c>
      <c r="H57" s="147">
        <f t="shared" si="7"/>
        <v>2454.8008338834034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2060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2061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2074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557000</v>
      </c>
      <c r="F73" s="115"/>
      <c r="G73" s="115">
        <f>SUM(G17:G72)</f>
        <v>1811513.3693875365</v>
      </c>
      <c r="H73" s="115">
        <f>SUM(H17:H72)</f>
        <v>1811513.3693875365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24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Fort Townson-Valliant Line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55" zoomScale="78" zoomScaleNormal="78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25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162968.67771034624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162968.67771034624</v>
      </c>
      <c r="O6" s="1"/>
      <c r="P6" s="1"/>
    </row>
    <row r="7" spans="1:16" ht="13.5" thickBot="1">
      <c r="C7" s="127" t="s">
        <v>41</v>
      </c>
      <c r="D7" s="227" t="s">
        <v>290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300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1216000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30400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6">
        <v>0</v>
      </c>
      <c r="E17" s="469">
        <v>13511.111111111109</v>
      </c>
      <c r="F17" s="467">
        <v>1202488.888888889</v>
      </c>
      <c r="G17" s="469">
        <v>85515.508884209848</v>
      </c>
      <c r="H17" s="468">
        <v>85515.508884209848</v>
      </c>
      <c r="I17" s="160">
        <f t="shared" ref="I17:I72" si="0">H17-G17</f>
        <v>0</v>
      </c>
      <c r="J17" s="160"/>
      <c r="K17" s="337">
        <f>+G17</f>
        <v>85515.508884209848</v>
      </c>
      <c r="L17" s="161">
        <f t="shared" ref="L17:L72" si="1">IF(K17&lt;&gt;0,+G17-K17,0)</f>
        <v>0</v>
      </c>
      <c r="M17" s="337">
        <f>+H17</f>
        <v>85515.508884209848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1202488.888888889</v>
      </c>
      <c r="E18" s="164">
        <f t="shared" ref="E18:E72" si="4">IF(+I$14&lt;F17,I$14,D18)</f>
        <v>30400</v>
      </c>
      <c r="F18" s="163">
        <f t="shared" ref="F18:F72" si="5">+D18-E18</f>
        <v>1172088.888888889</v>
      </c>
      <c r="G18" s="165">
        <f t="shared" ref="G18:G72" si="6">(D18+F18)/2*I$12+E18</f>
        <v>162968.67771034624</v>
      </c>
      <c r="H18" s="147">
        <f t="shared" ref="H18:H72" si="7">+(D18+F18)/2*I$13+E18</f>
        <v>162968.67771034624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1172088.888888889</v>
      </c>
      <c r="E19" s="164">
        <f t="shared" si="4"/>
        <v>30400</v>
      </c>
      <c r="F19" s="163">
        <f t="shared" si="5"/>
        <v>1141688.888888889</v>
      </c>
      <c r="G19" s="165">
        <f t="shared" si="6"/>
        <v>159574.31611890066</v>
      </c>
      <c r="H19" s="147">
        <f t="shared" si="7"/>
        <v>159574.31611890066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1141688.888888889</v>
      </c>
      <c r="E20" s="164">
        <f t="shared" si="4"/>
        <v>30400</v>
      </c>
      <c r="F20" s="163">
        <f t="shared" si="5"/>
        <v>1111288.888888889</v>
      </c>
      <c r="G20" s="165">
        <f t="shared" si="6"/>
        <v>156179.95452745509</v>
      </c>
      <c r="H20" s="147">
        <f t="shared" si="7"/>
        <v>156179.95452745509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1111288.888888889</v>
      </c>
      <c r="E21" s="164">
        <f t="shared" si="4"/>
        <v>30400</v>
      </c>
      <c r="F21" s="163">
        <f t="shared" si="5"/>
        <v>1080888.888888889</v>
      </c>
      <c r="G21" s="165">
        <f t="shared" si="6"/>
        <v>152785.59293600952</v>
      </c>
      <c r="H21" s="147">
        <f t="shared" si="7"/>
        <v>152785.59293600952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1080888.888888889</v>
      </c>
      <c r="E22" s="164">
        <f t="shared" si="4"/>
        <v>30400</v>
      </c>
      <c r="F22" s="163">
        <f t="shared" si="5"/>
        <v>1050488.888888889</v>
      </c>
      <c r="G22" s="165">
        <f t="shared" si="6"/>
        <v>149391.23134456394</v>
      </c>
      <c r="H22" s="147">
        <f t="shared" si="7"/>
        <v>149391.23134456394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1050488.888888889</v>
      </c>
      <c r="E23" s="164">
        <f t="shared" si="4"/>
        <v>30400</v>
      </c>
      <c r="F23" s="163">
        <f t="shared" si="5"/>
        <v>1020088.888888889</v>
      </c>
      <c r="G23" s="165">
        <f t="shared" si="6"/>
        <v>145996.8697531184</v>
      </c>
      <c r="H23" s="147">
        <f t="shared" si="7"/>
        <v>145996.8697531184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1020088.888888889</v>
      </c>
      <c r="E24" s="164">
        <f t="shared" si="4"/>
        <v>30400</v>
      </c>
      <c r="F24" s="163">
        <f t="shared" si="5"/>
        <v>989688.88888888899</v>
      </c>
      <c r="G24" s="165">
        <f t="shared" si="6"/>
        <v>142602.50816167286</v>
      </c>
      <c r="H24" s="147">
        <f t="shared" si="7"/>
        <v>142602.50816167286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989688.88888888899</v>
      </c>
      <c r="E25" s="164">
        <f t="shared" si="4"/>
        <v>30400</v>
      </c>
      <c r="F25" s="163">
        <f t="shared" si="5"/>
        <v>959288.88888888899</v>
      </c>
      <c r="G25" s="165">
        <f t="shared" si="6"/>
        <v>139208.14657022728</v>
      </c>
      <c r="H25" s="147">
        <f t="shared" si="7"/>
        <v>139208.14657022728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959288.88888888899</v>
      </c>
      <c r="E26" s="164">
        <f t="shared" si="4"/>
        <v>30400</v>
      </c>
      <c r="F26" s="163">
        <f t="shared" si="5"/>
        <v>928888.88888888899</v>
      </c>
      <c r="G26" s="165">
        <f t="shared" si="6"/>
        <v>135813.78497878171</v>
      </c>
      <c r="H26" s="147">
        <f t="shared" si="7"/>
        <v>135813.78497878171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928888.88888888899</v>
      </c>
      <c r="E27" s="164">
        <f t="shared" si="4"/>
        <v>30400</v>
      </c>
      <c r="F27" s="163">
        <f t="shared" si="5"/>
        <v>898488.88888888899</v>
      </c>
      <c r="G27" s="165">
        <f t="shared" si="6"/>
        <v>132419.42338733614</v>
      </c>
      <c r="H27" s="147">
        <f t="shared" si="7"/>
        <v>132419.42338733614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898488.88888888899</v>
      </c>
      <c r="E28" s="164">
        <f t="shared" si="4"/>
        <v>30400</v>
      </c>
      <c r="F28" s="163">
        <f t="shared" si="5"/>
        <v>868088.88888888899</v>
      </c>
      <c r="G28" s="165">
        <f t="shared" si="6"/>
        <v>129025.06179589058</v>
      </c>
      <c r="H28" s="147">
        <f t="shared" si="7"/>
        <v>129025.06179589058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868088.88888888899</v>
      </c>
      <c r="E29" s="164">
        <f t="shared" si="4"/>
        <v>30400</v>
      </c>
      <c r="F29" s="163">
        <f t="shared" si="5"/>
        <v>837688.88888888899</v>
      </c>
      <c r="G29" s="165">
        <f t="shared" si="6"/>
        <v>125630.70020444502</v>
      </c>
      <c r="H29" s="147">
        <f t="shared" si="7"/>
        <v>125630.70020444502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837688.88888888899</v>
      </c>
      <c r="E30" s="164">
        <f t="shared" si="4"/>
        <v>30400</v>
      </c>
      <c r="F30" s="163">
        <f t="shared" si="5"/>
        <v>807288.88888888899</v>
      </c>
      <c r="G30" s="165">
        <f t="shared" si="6"/>
        <v>122236.33861299945</v>
      </c>
      <c r="H30" s="147">
        <f t="shared" si="7"/>
        <v>122236.33861299945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807288.88888888899</v>
      </c>
      <c r="E31" s="164">
        <f t="shared" si="4"/>
        <v>30400</v>
      </c>
      <c r="F31" s="163">
        <f t="shared" si="5"/>
        <v>776888.88888888899</v>
      </c>
      <c r="G31" s="165">
        <f t="shared" si="6"/>
        <v>118841.97702155389</v>
      </c>
      <c r="H31" s="147">
        <f t="shared" si="7"/>
        <v>118841.97702155389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776888.88888888899</v>
      </c>
      <c r="E32" s="164">
        <f t="shared" si="4"/>
        <v>30400</v>
      </c>
      <c r="F32" s="163">
        <f t="shared" si="5"/>
        <v>746488.88888888899</v>
      </c>
      <c r="G32" s="165">
        <f t="shared" si="6"/>
        <v>115447.61543010832</v>
      </c>
      <c r="H32" s="147">
        <f t="shared" si="7"/>
        <v>115447.61543010832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746488.88888888899</v>
      </c>
      <c r="E33" s="164">
        <f t="shared" si="4"/>
        <v>30400</v>
      </c>
      <c r="F33" s="163">
        <f t="shared" si="5"/>
        <v>716088.88888888899</v>
      </c>
      <c r="G33" s="165">
        <f t="shared" si="6"/>
        <v>112053.25383866276</v>
      </c>
      <c r="H33" s="147">
        <f t="shared" si="7"/>
        <v>112053.25383866276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716088.88888888899</v>
      </c>
      <c r="E34" s="164">
        <f t="shared" si="4"/>
        <v>30400</v>
      </c>
      <c r="F34" s="163">
        <f t="shared" si="5"/>
        <v>685688.88888888899</v>
      </c>
      <c r="G34" s="165">
        <f t="shared" si="6"/>
        <v>108658.8922472172</v>
      </c>
      <c r="H34" s="147">
        <f t="shared" si="7"/>
        <v>108658.8922472172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685688.88888888899</v>
      </c>
      <c r="E35" s="164">
        <f t="shared" si="4"/>
        <v>30400</v>
      </c>
      <c r="F35" s="163">
        <f t="shared" si="5"/>
        <v>655288.88888888899</v>
      </c>
      <c r="G35" s="165">
        <f t="shared" si="6"/>
        <v>105264.53065577162</v>
      </c>
      <c r="H35" s="147">
        <f t="shared" si="7"/>
        <v>105264.53065577162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655288.88888888899</v>
      </c>
      <c r="E36" s="164">
        <f t="shared" si="4"/>
        <v>30400</v>
      </c>
      <c r="F36" s="163">
        <f t="shared" si="5"/>
        <v>624888.88888888899</v>
      </c>
      <c r="G36" s="165">
        <f t="shared" si="6"/>
        <v>101870.16906432607</v>
      </c>
      <c r="H36" s="147">
        <f t="shared" si="7"/>
        <v>101870.16906432607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624888.88888888899</v>
      </c>
      <c r="E37" s="164">
        <f t="shared" si="4"/>
        <v>30400</v>
      </c>
      <c r="F37" s="163">
        <f t="shared" si="5"/>
        <v>594488.88888888899</v>
      </c>
      <c r="G37" s="165">
        <f t="shared" si="6"/>
        <v>98475.807472880493</v>
      </c>
      <c r="H37" s="147">
        <f t="shared" si="7"/>
        <v>98475.807472880493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594488.88888888899</v>
      </c>
      <c r="E38" s="164">
        <f t="shared" si="4"/>
        <v>30400</v>
      </c>
      <c r="F38" s="163">
        <f t="shared" si="5"/>
        <v>564088.88888888899</v>
      </c>
      <c r="G38" s="165">
        <f t="shared" si="6"/>
        <v>95081.445881434935</v>
      </c>
      <c r="H38" s="147">
        <f t="shared" si="7"/>
        <v>95081.445881434935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564088.88888888899</v>
      </c>
      <c r="E39" s="164">
        <f t="shared" si="4"/>
        <v>30400</v>
      </c>
      <c r="F39" s="163">
        <f t="shared" si="5"/>
        <v>533688.88888888899</v>
      </c>
      <c r="G39" s="165">
        <f t="shared" si="6"/>
        <v>91687.084289989376</v>
      </c>
      <c r="H39" s="147">
        <f t="shared" si="7"/>
        <v>91687.084289989376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533688.88888888899</v>
      </c>
      <c r="E40" s="164">
        <f t="shared" si="4"/>
        <v>30400</v>
      </c>
      <c r="F40" s="163">
        <f t="shared" si="5"/>
        <v>503288.88888888899</v>
      </c>
      <c r="G40" s="165">
        <f t="shared" si="6"/>
        <v>88292.722698543803</v>
      </c>
      <c r="H40" s="147">
        <f t="shared" si="7"/>
        <v>88292.722698543803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503288.88888888899</v>
      </c>
      <c r="E41" s="164">
        <f t="shared" si="4"/>
        <v>30400</v>
      </c>
      <c r="F41" s="163">
        <f t="shared" si="5"/>
        <v>472888.88888888899</v>
      </c>
      <c r="G41" s="165">
        <f t="shared" si="6"/>
        <v>84898.361107098244</v>
      </c>
      <c r="H41" s="147">
        <f t="shared" si="7"/>
        <v>84898.361107098244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472888.88888888899</v>
      </c>
      <c r="E42" s="164">
        <f t="shared" si="4"/>
        <v>30400</v>
      </c>
      <c r="F42" s="163">
        <f t="shared" si="5"/>
        <v>442488.88888888899</v>
      </c>
      <c r="G42" s="165">
        <f t="shared" si="6"/>
        <v>81503.999515652686</v>
      </c>
      <c r="H42" s="147">
        <f t="shared" si="7"/>
        <v>81503.999515652686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442488.88888888899</v>
      </c>
      <c r="E43" s="164">
        <f t="shared" si="4"/>
        <v>30400</v>
      </c>
      <c r="F43" s="163">
        <f t="shared" si="5"/>
        <v>412088.88888888899</v>
      </c>
      <c r="G43" s="165">
        <f t="shared" si="6"/>
        <v>78109.637924207113</v>
      </c>
      <c r="H43" s="147">
        <f t="shared" si="7"/>
        <v>78109.637924207113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412088.88888888899</v>
      </c>
      <c r="E44" s="164">
        <f t="shared" si="4"/>
        <v>30400</v>
      </c>
      <c r="F44" s="163">
        <f t="shared" si="5"/>
        <v>381688.88888888899</v>
      </c>
      <c r="G44" s="165">
        <f t="shared" si="6"/>
        <v>74715.276332761539</v>
      </c>
      <c r="H44" s="147">
        <f t="shared" si="7"/>
        <v>74715.276332761539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381688.88888888899</v>
      </c>
      <c r="E45" s="164">
        <f t="shared" si="4"/>
        <v>30400</v>
      </c>
      <c r="F45" s="163">
        <f t="shared" si="5"/>
        <v>351288.88888888899</v>
      </c>
      <c r="G45" s="165">
        <f t="shared" si="6"/>
        <v>71320.914741315981</v>
      </c>
      <c r="H45" s="147">
        <f t="shared" si="7"/>
        <v>71320.914741315981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351288.88888888899</v>
      </c>
      <c r="E46" s="164">
        <f t="shared" si="4"/>
        <v>30400</v>
      </c>
      <c r="F46" s="163">
        <f t="shared" si="5"/>
        <v>320888.88888888899</v>
      </c>
      <c r="G46" s="165">
        <f t="shared" si="6"/>
        <v>67926.553149870422</v>
      </c>
      <c r="H46" s="147">
        <f t="shared" si="7"/>
        <v>67926.553149870422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320888.88888888899</v>
      </c>
      <c r="E47" s="164">
        <f t="shared" si="4"/>
        <v>30400</v>
      </c>
      <c r="F47" s="163">
        <f t="shared" si="5"/>
        <v>290488.88888888899</v>
      </c>
      <c r="G47" s="165">
        <f t="shared" si="6"/>
        <v>64532.191558424856</v>
      </c>
      <c r="H47" s="147">
        <f t="shared" si="7"/>
        <v>64532.191558424856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290488.88888888899</v>
      </c>
      <c r="E48" s="164">
        <f t="shared" si="4"/>
        <v>30400</v>
      </c>
      <c r="F48" s="163">
        <f t="shared" si="5"/>
        <v>260088.88888888899</v>
      </c>
      <c r="G48" s="165">
        <f t="shared" si="6"/>
        <v>61137.82996697929</v>
      </c>
      <c r="H48" s="147">
        <f t="shared" si="7"/>
        <v>61137.82996697929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260088.88888888899</v>
      </c>
      <c r="E49" s="164">
        <f t="shared" si="4"/>
        <v>30400</v>
      </c>
      <c r="F49" s="163">
        <f t="shared" si="5"/>
        <v>229688.88888888899</v>
      </c>
      <c r="G49" s="165">
        <f t="shared" si="6"/>
        <v>57743.468375533725</v>
      </c>
      <c r="H49" s="147">
        <f t="shared" si="7"/>
        <v>57743.468375533725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229688.88888888899</v>
      </c>
      <c r="E50" s="164">
        <f t="shared" si="4"/>
        <v>30400</v>
      </c>
      <c r="F50" s="163">
        <f t="shared" si="5"/>
        <v>199288.88888888899</v>
      </c>
      <c r="G50" s="165">
        <f t="shared" si="6"/>
        <v>54349.106784088159</v>
      </c>
      <c r="H50" s="147">
        <f t="shared" si="7"/>
        <v>54349.106784088159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199288.88888888899</v>
      </c>
      <c r="E51" s="164">
        <f t="shared" si="4"/>
        <v>30400</v>
      </c>
      <c r="F51" s="163">
        <f t="shared" si="5"/>
        <v>168888.88888888899</v>
      </c>
      <c r="G51" s="165">
        <f t="shared" si="6"/>
        <v>50954.7451926426</v>
      </c>
      <c r="H51" s="147">
        <f t="shared" si="7"/>
        <v>50954.7451926426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168888.88888888899</v>
      </c>
      <c r="E52" s="164">
        <f t="shared" si="4"/>
        <v>30400</v>
      </c>
      <c r="F52" s="163">
        <f t="shared" si="5"/>
        <v>138488.88888888899</v>
      </c>
      <c r="G52" s="165">
        <f t="shared" si="6"/>
        <v>47560.383601197027</v>
      </c>
      <c r="H52" s="147">
        <f t="shared" si="7"/>
        <v>47560.383601197027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138488.88888888899</v>
      </c>
      <c r="E53" s="164">
        <f t="shared" si="4"/>
        <v>30400</v>
      </c>
      <c r="F53" s="163">
        <f t="shared" si="5"/>
        <v>108088.88888888899</v>
      </c>
      <c r="G53" s="165">
        <f t="shared" si="6"/>
        <v>44166.022009751468</v>
      </c>
      <c r="H53" s="147">
        <f t="shared" si="7"/>
        <v>44166.022009751468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108088.88888888899</v>
      </c>
      <c r="E54" s="164">
        <f t="shared" si="4"/>
        <v>30400</v>
      </c>
      <c r="F54" s="163">
        <f t="shared" si="5"/>
        <v>77688.888888888992</v>
      </c>
      <c r="G54" s="165">
        <f t="shared" si="6"/>
        <v>40771.660418305903</v>
      </c>
      <c r="H54" s="147">
        <f t="shared" si="7"/>
        <v>40771.660418305903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77688.888888888992</v>
      </c>
      <c r="E55" s="164">
        <f t="shared" si="4"/>
        <v>30400</v>
      </c>
      <c r="F55" s="163">
        <f t="shared" si="5"/>
        <v>47288.888888888992</v>
      </c>
      <c r="G55" s="165">
        <f t="shared" si="6"/>
        <v>37377.298826860337</v>
      </c>
      <c r="H55" s="147">
        <f t="shared" si="7"/>
        <v>37377.298826860337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47288.888888888992</v>
      </c>
      <c r="E56" s="164">
        <f t="shared" si="4"/>
        <v>30400</v>
      </c>
      <c r="F56" s="163">
        <f t="shared" si="5"/>
        <v>16888.888888888992</v>
      </c>
      <c r="G56" s="165">
        <f t="shared" si="6"/>
        <v>33982.937235414771</v>
      </c>
      <c r="H56" s="147">
        <f t="shared" si="7"/>
        <v>33982.937235414771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16888.888888888992</v>
      </c>
      <c r="E57" s="164">
        <f t="shared" si="4"/>
        <v>16888.888888888992</v>
      </c>
      <c r="F57" s="163">
        <f t="shared" si="5"/>
        <v>0</v>
      </c>
      <c r="G57" s="165">
        <f t="shared" si="6"/>
        <v>17831.767108734988</v>
      </c>
      <c r="H57" s="147">
        <f t="shared" si="7"/>
        <v>17831.767108734988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1216000</v>
      </c>
      <c r="F73" s="115"/>
      <c r="G73" s="115">
        <f>SUM(G17:G72)</f>
        <v>3943903.7674352843</v>
      </c>
      <c r="H73" s="115">
        <f>SUM(H17:H72)</f>
        <v>3943903.7674352843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25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Duncan-Comanche Tap 69 KV Rebuild and Duncan station upgrades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1216000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26435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13217.5</v>
      </c>
      <c r="F99" s="163">
        <f>IF(D93=C99,+D92-E99,+D99-E99)</f>
        <v>1202782.5</v>
      </c>
      <c r="G99" s="218">
        <f>+(F99+D99)/2</f>
        <v>601391.25</v>
      </c>
      <c r="H99" s="218">
        <f t="shared" ref="H99:H154" si="9">+J$94*G99+E99</f>
        <v>89505.496471075618</v>
      </c>
      <c r="I99" s="218">
        <f>+J$95*G99+E99</f>
        <v>89505.496471075618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1202782.5</v>
      </c>
      <c r="E100" s="164">
        <f>IF(+J$96&lt;F99,J$96,D100)</f>
        <v>26435</v>
      </c>
      <c r="F100" s="163">
        <f>+D100-E100</f>
        <v>1176347.5</v>
      </c>
      <c r="G100" s="163">
        <f>+(F100+D100)/2</f>
        <v>1189565</v>
      </c>
      <c r="H100" s="333">
        <f t="shared" si="9"/>
        <v>177334.31973921313</v>
      </c>
      <c r="I100" s="344">
        <f t="shared" ref="I100:I154" si="14">+J$95*G100+E100</f>
        <v>177334.31973921313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1176347.5</v>
      </c>
      <c r="E101" s="164">
        <f t="shared" ref="E101:E154" si="16">IF(+J$96&lt;F100,J$96,D101)</f>
        <v>26435</v>
      </c>
      <c r="F101" s="163">
        <f t="shared" ref="F101:F154" si="17">+D101-E101</f>
        <v>1149912.5</v>
      </c>
      <c r="G101" s="163">
        <f t="shared" ref="G101:G154" si="18">+(F101+D101)/2</f>
        <v>1163130</v>
      </c>
      <c r="H101" s="333">
        <f t="shared" si="9"/>
        <v>173980.97333333697</v>
      </c>
      <c r="I101" s="344">
        <f t="shared" si="14"/>
        <v>173980.97333333697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1149912.5</v>
      </c>
      <c r="E102" s="164">
        <f t="shared" si="16"/>
        <v>26435</v>
      </c>
      <c r="F102" s="163">
        <f t="shared" si="17"/>
        <v>1123477.5</v>
      </c>
      <c r="G102" s="163">
        <f t="shared" si="18"/>
        <v>1136695</v>
      </c>
      <c r="H102" s="333">
        <f t="shared" si="9"/>
        <v>170627.62692746078</v>
      </c>
      <c r="I102" s="344">
        <f t="shared" si="14"/>
        <v>170627.62692746078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1123477.5</v>
      </c>
      <c r="E103" s="164">
        <f t="shared" si="16"/>
        <v>26435</v>
      </c>
      <c r="F103" s="163">
        <f t="shared" si="17"/>
        <v>1097042.5</v>
      </c>
      <c r="G103" s="163">
        <f t="shared" si="18"/>
        <v>1110260</v>
      </c>
      <c r="H103" s="333">
        <f t="shared" si="9"/>
        <v>167274.28052158459</v>
      </c>
      <c r="I103" s="344">
        <f t="shared" si="14"/>
        <v>167274.28052158459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1097042.5</v>
      </c>
      <c r="E104" s="164">
        <f t="shared" si="16"/>
        <v>26435</v>
      </c>
      <c r="F104" s="163">
        <f t="shared" si="17"/>
        <v>1070607.5</v>
      </c>
      <c r="G104" s="163">
        <f t="shared" si="18"/>
        <v>1083825</v>
      </c>
      <c r="H104" s="333">
        <f t="shared" si="9"/>
        <v>163920.93411570843</v>
      </c>
      <c r="I104" s="344">
        <f t="shared" si="14"/>
        <v>163920.93411570843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1070607.5</v>
      </c>
      <c r="E105" s="164">
        <f t="shared" si="16"/>
        <v>26435</v>
      </c>
      <c r="F105" s="163">
        <f t="shared" si="17"/>
        <v>1044172.5</v>
      </c>
      <c r="G105" s="163">
        <f t="shared" si="18"/>
        <v>1057390</v>
      </c>
      <c r="H105" s="333">
        <f t="shared" si="9"/>
        <v>160567.58770983224</v>
      </c>
      <c r="I105" s="344">
        <f t="shared" si="14"/>
        <v>160567.58770983224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1044172.5</v>
      </c>
      <c r="E106" s="164">
        <f t="shared" si="16"/>
        <v>26435</v>
      </c>
      <c r="F106" s="163">
        <f t="shared" si="17"/>
        <v>1017737.5</v>
      </c>
      <c r="G106" s="163">
        <f t="shared" si="18"/>
        <v>1030955</v>
      </c>
      <c r="H106" s="333">
        <f t="shared" si="9"/>
        <v>157214.24130395605</v>
      </c>
      <c r="I106" s="344">
        <f t="shared" si="14"/>
        <v>157214.24130395605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1017737.5</v>
      </c>
      <c r="E107" s="164">
        <f t="shared" si="16"/>
        <v>26435</v>
      </c>
      <c r="F107" s="163">
        <f t="shared" si="17"/>
        <v>991302.5</v>
      </c>
      <c r="G107" s="163">
        <f t="shared" si="18"/>
        <v>1004520</v>
      </c>
      <c r="H107" s="333">
        <f t="shared" si="9"/>
        <v>153860.89489807986</v>
      </c>
      <c r="I107" s="344">
        <f t="shared" si="14"/>
        <v>153860.89489807986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991302.5</v>
      </c>
      <c r="E108" s="164">
        <f t="shared" si="16"/>
        <v>26435</v>
      </c>
      <c r="F108" s="163">
        <f t="shared" si="17"/>
        <v>964867.5</v>
      </c>
      <c r="G108" s="163">
        <f t="shared" si="18"/>
        <v>978085</v>
      </c>
      <c r="H108" s="333">
        <f t="shared" si="9"/>
        <v>150507.5484922037</v>
      </c>
      <c r="I108" s="344">
        <f t="shared" si="14"/>
        <v>150507.5484922037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964867.5</v>
      </c>
      <c r="E109" s="164">
        <f t="shared" si="16"/>
        <v>26435</v>
      </c>
      <c r="F109" s="163">
        <f t="shared" si="17"/>
        <v>938432.5</v>
      </c>
      <c r="G109" s="163">
        <f t="shared" si="18"/>
        <v>951650</v>
      </c>
      <c r="H109" s="333">
        <f t="shared" si="9"/>
        <v>147154.20208632751</v>
      </c>
      <c r="I109" s="344">
        <f t="shared" si="14"/>
        <v>147154.20208632751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938432.5</v>
      </c>
      <c r="E110" s="164">
        <f t="shared" si="16"/>
        <v>26435</v>
      </c>
      <c r="F110" s="163">
        <f t="shared" si="17"/>
        <v>911997.5</v>
      </c>
      <c r="G110" s="163">
        <f t="shared" si="18"/>
        <v>925215</v>
      </c>
      <c r="H110" s="333">
        <f t="shared" si="9"/>
        <v>143800.85568045132</v>
      </c>
      <c r="I110" s="344">
        <f t="shared" si="14"/>
        <v>143800.85568045132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911997.5</v>
      </c>
      <c r="E111" s="164">
        <f t="shared" si="16"/>
        <v>26435</v>
      </c>
      <c r="F111" s="163">
        <f t="shared" si="17"/>
        <v>885562.5</v>
      </c>
      <c r="G111" s="163">
        <f t="shared" si="18"/>
        <v>898780</v>
      </c>
      <c r="H111" s="333">
        <f t="shared" si="9"/>
        <v>140447.50927457516</v>
      </c>
      <c r="I111" s="344">
        <f t="shared" si="14"/>
        <v>140447.50927457516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885562.5</v>
      </c>
      <c r="E112" s="164">
        <f t="shared" si="16"/>
        <v>26435</v>
      </c>
      <c r="F112" s="163">
        <f t="shared" si="17"/>
        <v>859127.5</v>
      </c>
      <c r="G112" s="163">
        <f t="shared" si="18"/>
        <v>872345</v>
      </c>
      <c r="H112" s="333">
        <f t="shared" si="9"/>
        <v>137094.16286869897</v>
      </c>
      <c r="I112" s="344">
        <f t="shared" si="14"/>
        <v>137094.16286869897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859127.5</v>
      </c>
      <c r="E113" s="164">
        <f t="shared" si="16"/>
        <v>26435</v>
      </c>
      <c r="F113" s="163">
        <f t="shared" si="17"/>
        <v>832692.5</v>
      </c>
      <c r="G113" s="163">
        <f t="shared" si="18"/>
        <v>845910</v>
      </c>
      <c r="H113" s="333">
        <f t="shared" si="9"/>
        <v>133740.81646282278</v>
      </c>
      <c r="I113" s="344">
        <f t="shared" si="14"/>
        <v>133740.81646282278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832692.5</v>
      </c>
      <c r="E114" s="164">
        <f t="shared" si="16"/>
        <v>26435</v>
      </c>
      <c r="F114" s="163">
        <f t="shared" si="17"/>
        <v>806257.5</v>
      </c>
      <c r="G114" s="163">
        <f t="shared" si="18"/>
        <v>819475</v>
      </c>
      <c r="H114" s="333">
        <f t="shared" si="9"/>
        <v>130387.47005694661</v>
      </c>
      <c r="I114" s="344">
        <f t="shared" si="14"/>
        <v>130387.47005694661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806257.5</v>
      </c>
      <c r="E115" s="164">
        <f t="shared" si="16"/>
        <v>26435</v>
      </c>
      <c r="F115" s="163">
        <f t="shared" si="17"/>
        <v>779822.5</v>
      </c>
      <c r="G115" s="163">
        <f t="shared" si="18"/>
        <v>793040</v>
      </c>
      <c r="H115" s="333">
        <f t="shared" si="9"/>
        <v>127034.12365107042</v>
      </c>
      <c r="I115" s="344">
        <f t="shared" si="14"/>
        <v>127034.12365107042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779822.5</v>
      </c>
      <c r="E116" s="164">
        <f t="shared" si="16"/>
        <v>26435</v>
      </c>
      <c r="F116" s="163">
        <f t="shared" si="17"/>
        <v>753387.5</v>
      </c>
      <c r="G116" s="163">
        <f t="shared" si="18"/>
        <v>766605</v>
      </c>
      <c r="H116" s="333">
        <f t="shared" si="9"/>
        <v>123680.77724519424</v>
      </c>
      <c r="I116" s="344">
        <f t="shared" si="14"/>
        <v>123680.77724519424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753387.5</v>
      </c>
      <c r="E117" s="164">
        <f t="shared" si="16"/>
        <v>26435</v>
      </c>
      <c r="F117" s="163">
        <f t="shared" si="17"/>
        <v>726952.5</v>
      </c>
      <c r="G117" s="163">
        <f t="shared" si="18"/>
        <v>740170</v>
      </c>
      <c r="H117" s="333">
        <f t="shared" si="9"/>
        <v>120327.43083931805</v>
      </c>
      <c r="I117" s="344">
        <f t="shared" si="14"/>
        <v>120327.43083931805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726952.5</v>
      </c>
      <c r="E118" s="164">
        <f t="shared" si="16"/>
        <v>26435</v>
      </c>
      <c r="F118" s="163">
        <f t="shared" si="17"/>
        <v>700517.5</v>
      </c>
      <c r="G118" s="163">
        <f t="shared" si="18"/>
        <v>713735</v>
      </c>
      <c r="H118" s="333">
        <f t="shared" si="9"/>
        <v>116974.08443344188</v>
      </c>
      <c r="I118" s="344">
        <f t="shared" si="14"/>
        <v>116974.08443344188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700517.5</v>
      </c>
      <c r="E119" s="164">
        <f t="shared" si="16"/>
        <v>26435</v>
      </c>
      <c r="F119" s="163">
        <f t="shared" si="17"/>
        <v>674082.5</v>
      </c>
      <c r="G119" s="163">
        <f t="shared" si="18"/>
        <v>687300</v>
      </c>
      <c r="H119" s="333">
        <f t="shared" si="9"/>
        <v>113620.73802756569</v>
      </c>
      <c r="I119" s="344">
        <f t="shared" si="14"/>
        <v>113620.73802756569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674082.5</v>
      </c>
      <c r="E120" s="164">
        <f t="shared" si="16"/>
        <v>26435</v>
      </c>
      <c r="F120" s="163">
        <f t="shared" si="17"/>
        <v>647647.5</v>
      </c>
      <c r="G120" s="163">
        <f t="shared" si="18"/>
        <v>660865</v>
      </c>
      <c r="H120" s="333">
        <f t="shared" si="9"/>
        <v>110267.39162168952</v>
      </c>
      <c r="I120" s="344">
        <f t="shared" si="14"/>
        <v>110267.39162168952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647647.5</v>
      </c>
      <c r="E121" s="164">
        <f t="shared" si="16"/>
        <v>26435</v>
      </c>
      <c r="F121" s="163">
        <f t="shared" si="17"/>
        <v>621212.5</v>
      </c>
      <c r="G121" s="163">
        <f t="shared" si="18"/>
        <v>634430</v>
      </c>
      <c r="H121" s="333">
        <f t="shared" si="9"/>
        <v>106914.04521581334</v>
      </c>
      <c r="I121" s="344">
        <f t="shared" si="14"/>
        <v>106914.04521581334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621212.5</v>
      </c>
      <c r="E122" s="164">
        <f t="shared" si="16"/>
        <v>26435</v>
      </c>
      <c r="F122" s="163">
        <f t="shared" si="17"/>
        <v>594777.5</v>
      </c>
      <c r="G122" s="163">
        <f t="shared" si="18"/>
        <v>607995</v>
      </c>
      <c r="H122" s="333">
        <f t="shared" si="9"/>
        <v>103560.69880993715</v>
      </c>
      <c r="I122" s="344">
        <f t="shared" si="14"/>
        <v>103560.69880993715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594777.5</v>
      </c>
      <c r="E123" s="164">
        <f t="shared" si="16"/>
        <v>26435</v>
      </c>
      <c r="F123" s="163">
        <f t="shared" si="17"/>
        <v>568342.5</v>
      </c>
      <c r="G123" s="163">
        <f t="shared" si="18"/>
        <v>581560</v>
      </c>
      <c r="H123" s="333">
        <f t="shared" si="9"/>
        <v>100207.35240406098</v>
      </c>
      <c r="I123" s="344">
        <f t="shared" si="14"/>
        <v>100207.35240406098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568342.5</v>
      </c>
      <c r="E124" s="164">
        <f t="shared" si="16"/>
        <v>26435</v>
      </c>
      <c r="F124" s="163">
        <f t="shared" si="17"/>
        <v>541907.5</v>
      </c>
      <c r="G124" s="163">
        <f t="shared" si="18"/>
        <v>555125</v>
      </c>
      <c r="H124" s="333">
        <f t="shared" si="9"/>
        <v>96854.005998184788</v>
      </c>
      <c r="I124" s="344">
        <f t="shared" si="14"/>
        <v>96854.005998184788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541907.5</v>
      </c>
      <c r="E125" s="164">
        <f t="shared" si="16"/>
        <v>26435</v>
      </c>
      <c r="F125" s="163">
        <f t="shared" si="17"/>
        <v>515472.5</v>
      </c>
      <c r="G125" s="163">
        <f t="shared" si="18"/>
        <v>528690</v>
      </c>
      <c r="H125" s="333">
        <f t="shared" si="9"/>
        <v>93500.659592308613</v>
      </c>
      <c r="I125" s="344">
        <f t="shared" si="14"/>
        <v>93500.659592308613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515472.5</v>
      </c>
      <c r="E126" s="164">
        <f t="shared" si="16"/>
        <v>26435</v>
      </c>
      <c r="F126" s="163">
        <f t="shared" si="17"/>
        <v>489037.5</v>
      </c>
      <c r="G126" s="163">
        <f t="shared" si="18"/>
        <v>502255</v>
      </c>
      <c r="H126" s="333">
        <f t="shared" si="9"/>
        <v>90147.313186432439</v>
      </c>
      <c r="I126" s="344">
        <f t="shared" si="14"/>
        <v>90147.313186432439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489037.5</v>
      </c>
      <c r="E127" s="164">
        <f t="shared" si="16"/>
        <v>26435</v>
      </c>
      <c r="F127" s="163">
        <f t="shared" si="17"/>
        <v>462602.5</v>
      </c>
      <c r="G127" s="163">
        <f t="shared" si="18"/>
        <v>475820</v>
      </c>
      <c r="H127" s="333">
        <f t="shared" si="9"/>
        <v>86793.966780556249</v>
      </c>
      <c r="I127" s="344">
        <f t="shared" si="14"/>
        <v>86793.966780556249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462602.5</v>
      </c>
      <c r="E128" s="164">
        <f t="shared" si="16"/>
        <v>26435</v>
      </c>
      <c r="F128" s="163">
        <f t="shared" si="17"/>
        <v>436167.5</v>
      </c>
      <c r="G128" s="163">
        <f t="shared" si="18"/>
        <v>449385</v>
      </c>
      <c r="H128" s="333">
        <f t="shared" si="9"/>
        <v>83440.62037468006</v>
      </c>
      <c r="I128" s="344">
        <f t="shared" si="14"/>
        <v>83440.62037468006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436167.5</v>
      </c>
      <c r="E129" s="164">
        <f t="shared" si="16"/>
        <v>26435</v>
      </c>
      <c r="F129" s="163">
        <f t="shared" si="17"/>
        <v>409732.5</v>
      </c>
      <c r="G129" s="163">
        <f t="shared" si="18"/>
        <v>422950</v>
      </c>
      <c r="H129" s="333">
        <f t="shared" si="9"/>
        <v>80087.273968803886</v>
      </c>
      <c r="I129" s="344">
        <f t="shared" si="14"/>
        <v>80087.273968803886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409732.5</v>
      </c>
      <c r="E130" s="164">
        <f t="shared" si="16"/>
        <v>26435</v>
      </c>
      <c r="F130" s="163">
        <f t="shared" si="17"/>
        <v>383297.5</v>
      </c>
      <c r="G130" s="163">
        <f t="shared" si="18"/>
        <v>396515</v>
      </c>
      <c r="H130" s="333">
        <f t="shared" si="9"/>
        <v>76733.927562927711</v>
      </c>
      <c r="I130" s="344">
        <f t="shared" si="14"/>
        <v>76733.927562927711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383297.5</v>
      </c>
      <c r="E131" s="164">
        <f t="shared" si="16"/>
        <v>26435</v>
      </c>
      <c r="F131" s="163">
        <f t="shared" si="17"/>
        <v>356862.5</v>
      </c>
      <c r="G131" s="163">
        <f t="shared" si="18"/>
        <v>370080</v>
      </c>
      <c r="H131" s="333">
        <f t="shared" si="9"/>
        <v>73380.581157051522</v>
      </c>
      <c r="I131" s="344">
        <f t="shared" si="14"/>
        <v>73380.581157051522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356862.5</v>
      </c>
      <c r="E132" s="164">
        <f t="shared" si="16"/>
        <v>26435</v>
      </c>
      <c r="F132" s="163">
        <f t="shared" si="17"/>
        <v>330427.5</v>
      </c>
      <c r="G132" s="163">
        <f t="shared" si="18"/>
        <v>343645</v>
      </c>
      <c r="H132" s="333">
        <f t="shared" si="9"/>
        <v>70027.234751175347</v>
      </c>
      <c r="I132" s="344">
        <f t="shared" si="14"/>
        <v>70027.234751175347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330427.5</v>
      </c>
      <c r="E133" s="164">
        <f t="shared" si="16"/>
        <v>26435</v>
      </c>
      <c r="F133" s="163">
        <f t="shared" si="17"/>
        <v>303992.5</v>
      </c>
      <c r="G133" s="163">
        <f t="shared" si="18"/>
        <v>317210</v>
      </c>
      <c r="H133" s="333">
        <f t="shared" si="9"/>
        <v>66673.888345299172</v>
      </c>
      <c r="I133" s="344">
        <f t="shared" si="14"/>
        <v>66673.888345299172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303992.5</v>
      </c>
      <c r="E134" s="164">
        <f t="shared" si="16"/>
        <v>26435</v>
      </c>
      <c r="F134" s="163">
        <f t="shared" si="17"/>
        <v>277557.5</v>
      </c>
      <c r="G134" s="163">
        <f t="shared" si="18"/>
        <v>290775</v>
      </c>
      <c r="H134" s="333">
        <f t="shared" si="9"/>
        <v>63320.541939422983</v>
      </c>
      <c r="I134" s="344">
        <f t="shared" si="14"/>
        <v>63320.541939422983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277557.5</v>
      </c>
      <c r="E135" s="164">
        <f t="shared" si="16"/>
        <v>26435</v>
      </c>
      <c r="F135" s="163">
        <f t="shared" si="17"/>
        <v>251122.5</v>
      </c>
      <c r="G135" s="163">
        <f t="shared" si="18"/>
        <v>264340</v>
      </c>
      <c r="H135" s="333">
        <f t="shared" si="9"/>
        <v>59967.195533546801</v>
      </c>
      <c r="I135" s="344">
        <f t="shared" si="14"/>
        <v>59967.195533546801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251122.5</v>
      </c>
      <c r="E136" s="164">
        <f t="shared" si="16"/>
        <v>26435</v>
      </c>
      <c r="F136" s="163">
        <f t="shared" si="17"/>
        <v>224687.5</v>
      </c>
      <c r="G136" s="163">
        <f t="shared" si="18"/>
        <v>237905</v>
      </c>
      <c r="H136" s="333">
        <f t="shared" si="9"/>
        <v>56613.849127670619</v>
      </c>
      <c r="I136" s="344">
        <f t="shared" si="14"/>
        <v>56613.849127670619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224687.5</v>
      </c>
      <c r="E137" s="164">
        <f t="shared" si="16"/>
        <v>26435</v>
      </c>
      <c r="F137" s="163">
        <f t="shared" si="17"/>
        <v>198252.5</v>
      </c>
      <c r="G137" s="163">
        <f t="shared" si="18"/>
        <v>211470</v>
      </c>
      <c r="H137" s="333">
        <f t="shared" si="9"/>
        <v>53260.502721794444</v>
      </c>
      <c r="I137" s="344">
        <f t="shared" si="14"/>
        <v>53260.502721794444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198252.5</v>
      </c>
      <c r="E138" s="164">
        <f t="shared" si="16"/>
        <v>26435</v>
      </c>
      <c r="F138" s="163">
        <f t="shared" si="17"/>
        <v>171817.5</v>
      </c>
      <c r="G138" s="163">
        <f t="shared" si="18"/>
        <v>185035</v>
      </c>
      <c r="H138" s="333">
        <f t="shared" si="9"/>
        <v>49907.156315918255</v>
      </c>
      <c r="I138" s="344">
        <f t="shared" si="14"/>
        <v>49907.156315918255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171817.5</v>
      </c>
      <c r="E139" s="164">
        <f t="shared" si="16"/>
        <v>26435</v>
      </c>
      <c r="F139" s="163">
        <f t="shared" si="17"/>
        <v>145382.5</v>
      </c>
      <c r="G139" s="163">
        <f t="shared" si="18"/>
        <v>158600</v>
      </c>
      <c r="H139" s="333">
        <f t="shared" si="9"/>
        <v>46553.80991004208</v>
      </c>
      <c r="I139" s="344">
        <f t="shared" si="14"/>
        <v>46553.80991004208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145382.5</v>
      </c>
      <c r="E140" s="164">
        <f t="shared" si="16"/>
        <v>26435</v>
      </c>
      <c r="F140" s="163">
        <f t="shared" si="17"/>
        <v>118947.5</v>
      </c>
      <c r="G140" s="163">
        <f t="shared" si="18"/>
        <v>132165</v>
      </c>
      <c r="H140" s="333">
        <f t="shared" si="9"/>
        <v>43200.463504165891</v>
      </c>
      <c r="I140" s="344">
        <f t="shared" si="14"/>
        <v>43200.463504165891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118947.5</v>
      </c>
      <c r="E141" s="164">
        <f t="shared" si="16"/>
        <v>26435</v>
      </c>
      <c r="F141" s="163">
        <f t="shared" si="17"/>
        <v>92512.5</v>
      </c>
      <c r="G141" s="163">
        <f t="shared" si="18"/>
        <v>105730</v>
      </c>
      <c r="H141" s="333">
        <f t="shared" si="9"/>
        <v>39847.117098289717</v>
      </c>
      <c r="I141" s="344">
        <f t="shared" si="14"/>
        <v>39847.117098289717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92512.5</v>
      </c>
      <c r="E142" s="164">
        <f t="shared" si="16"/>
        <v>26435</v>
      </c>
      <c r="F142" s="163">
        <f t="shared" si="17"/>
        <v>66077.5</v>
      </c>
      <c r="G142" s="163">
        <f t="shared" si="18"/>
        <v>79295</v>
      </c>
      <c r="H142" s="333">
        <f t="shared" si="9"/>
        <v>36493.770692413535</v>
      </c>
      <c r="I142" s="344">
        <f t="shared" si="14"/>
        <v>36493.770692413535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66077.5</v>
      </c>
      <c r="E143" s="164">
        <f t="shared" si="16"/>
        <v>26435</v>
      </c>
      <c r="F143" s="163">
        <f t="shared" si="17"/>
        <v>39642.5</v>
      </c>
      <c r="G143" s="163">
        <f t="shared" si="18"/>
        <v>52860</v>
      </c>
      <c r="H143" s="333">
        <f t="shared" si="9"/>
        <v>33140.424286537353</v>
      </c>
      <c r="I143" s="344">
        <f t="shared" si="14"/>
        <v>33140.424286537353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39642.5</v>
      </c>
      <c r="E144" s="164">
        <f t="shared" si="16"/>
        <v>26435</v>
      </c>
      <c r="F144" s="163">
        <f t="shared" si="17"/>
        <v>13207.5</v>
      </c>
      <c r="G144" s="163">
        <f t="shared" si="18"/>
        <v>26425</v>
      </c>
      <c r="H144" s="333">
        <f t="shared" si="9"/>
        <v>29787.077880661171</v>
      </c>
      <c r="I144" s="344">
        <f t="shared" si="14"/>
        <v>29787.077880661171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13207.5</v>
      </c>
      <c r="E145" s="164">
        <f t="shared" si="16"/>
        <v>13207.5</v>
      </c>
      <c r="F145" s="163">
        <f t="shared" si="17"/>
        <v>0</v>
      </c>
      <c r="G145" s="163">
        <f t="shared" si="18"/>
        <v>6603.75</v>
      </c>
      <c r="H145" s="333">
        <f t="shared" si="9"/>
        <v>14045.202338861542</v>
      </c>
      <c r="I145" s="344">
        <f t="shared" si="14"/>
        <v>14045.202338861542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1216000</v>
      </c>
      <c r="F155" s="115"/>
      <c r="G155" s="115"/>
      <c r="H155" s="115">
        <f>SUM(H99:H154)</f>
        <v>4763782.1452571088</v>
      </c>
      <c r="I155" s="115">
        <f>SUM(I99:I154)</f>
        <v>4763782.1452571088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4" zoomScale="70" zoomScaleNormal="7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26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280481.45781944925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280481.45781944925</v>
      </c>
      <c r="O6" s="1"/>
      <c r="P6" s="1"/>
    </row>
    <row r="7" spans="1:16" ht="13.5" thickBot="1">
      <c r="C7" s="127" t="s">
        <v>41</v>
      </c>
      <c r="D7" s="227" t="s">
        <v>338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339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5024000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125600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84">
        <v>0</v>
      </c>
      <c r="E17" s="485">
        <v>0</v>
      </c>
      <c r="F17" s="163">
        <f>IF(D11=C17,+D10-E17,+D17-E17)</f>
        <v>5024000</v>
      </c>
      <c r="G17" s="159">
        <f>(D17+F17)/2*I$12+E17</f>
        <v>280481.45781944925</v>
      </c>
      <c r="H17" s="147">
        <f>+(D17+F17)/2*I$13+E17</f>
        <v>280481.45781944925</v>
      </c>
      <c r="I17" s="160">
        <f t="shared" ref="I17:I72" si="0">H17-G17</f>
        <v>0</v>
      </c>
      <c r="J17" s="160"/>
      <c r="K17" s="337">
        <v>0</v>
      </c>
      <c r="L17" s="161">
        <f t="shared" ref="L17:L72" si="1">IF(K17&lt;&gt;0,+G17-K17,0)</f>
        <v>0</v>
      </c>
      <c r="M17" s="337">
        <v>0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2020</v>
      </c>
      <c r="D18" s="166">
        <f>IF(F17+SUM(E$17:E17)=D$10,F17,D$10-SUM(E$17:E17))</f>
        <v>5024000</v>
      </c>
      <c r="E18" s="164">
        <f t="shared" ref="E18:E72" si="4">IF(+I$14&lt;F17,I$14,D18)</f>
        <v>125600</v>
      </c>
      <c r="F18" s="163">
        <f t="shared" ref="F18:F72" si="5">+D18-E18</f>
        <v>4898400</v>
      </c>
      <c r="G18" s="165">
        <f t="shared" ref="G18:G72" si="6">(D18+F18)/2*I$12+E18</f>
        <v>679550.87919341226</v>
      </c>
      <c r="H18" s="147">
        <f t="shared" ref="H18:H72" si="7">+(D18+F18)/2*I$13+E18</f>
        <v>679550.87919341226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4898400</v>
      </c>
      <c r="E19" s="164">
        <f t="shared" si="4"/>
        <v>125600</v>
      </c>
      <c r="F19" s="163">
        <f t="shared" si="5"/>
        <v>4772800</v>
      </c>
      <c r="G19" s="165">
        <f t="shared" si="6"/>
        <v>665526.80630243989</v>
      </c>
      <c r="H19" s="147">
        <f t="shared" si="7"/>
        <v>665526.80630243989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2022</v>
      </c>
      <c r="D20" s="166">
        <f>IF(F19+SUM(E$17:E19)=D$10,F19,D$10-SUM(E$17:E19))</f>
        <v>4772800</v>
      </c>
      <c r="E20" s="164">
        <f t="shared" si="4"/>
        <v>125600</v>
      </c>
      <c r="F20" s="163">
        <f t="shared" si="5"/>
        <v>4647200</v>
      </c>
      <c r="G20" s="165">
        <f t="shared" si="6"/>
        <v>651502.7334114674</v>
      </c>
      <c r="H20" s="147">
        <f t="shared" si="7"/>
        <v>651502.7334114674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2023</v>
      </c>
      <c r="D21" s="166">
        <f>IF(F20+SUM(E$17:E20)=D$10,F20,D$10-SUM(E$17:E20))</f>
        <v>4647200</v>
      </c>
      <c r="E21" s="164">
        <f t="shared" si="4"/>
        <v>125600</v>
      </c>
      <c r="F21" s="163">
        <f t="shared" si="5"/>
        <v>4521600</v>
      </c>
      <c r="G21" s="165">
        <f t="shared" si="6"/>
        <v>637478.66052049492</v>
      </c>
      <c r="H21" s="147">
        <f t="shared" si="7"/>
        <v>637478.66052049492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2024</v>
      </c>
      <c r="D22" s="166">
        <f>IF(F21+SUM(E$17:E21)=D$10,F21,D$10-SUM(E$17:E21))</f>
        <v>4521600</v>
      </c>
      <c r="E22" s="164">
        <f t="shared" si="4"/>
        <v>125600</v>
      </c>
      <c r="F22" s="163">
        <f t="shared" si="5"/>
        <v>4396000</v>
      </c>
      <c r="G22" s="165">
        <f t="shared" si="6"/>
        <v>623454.58762952243</v>
      </c>
      <c r="H22" s="147">
        <f t="shared" si="7"/>
        <v>623454.58762952243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2025</v>
      </c>
      <c r="D23" s="166">
        <f>IF(F22+SUM(E$17:E22)=D$10,F22,D$10-SUM(E$17:E22))</f>
        <v>4396000</v>
      </c>
      <c r="E23" s="164">
        <f t="shared" si="4"/>
        <v>125600</v>
      </c>
      <c r="F23" s="163">
        <f t="shared" si="5"/>
        <v>4270400</v>
      </c>
      <c r="G23" s="165">
        <f t="shared" si="6"/>
        <v>609430.51473854994</v>
      </c>
      <c r="H23" s="147">
        <f t="shared" si="7"/>
        <v>609430.51473854994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2026</v>
      </c>
      <c r="D24" s="166">
        <f>IF(F23+SUM(E$17:E23)=D$10,F23,D$10-SUM(E$17:E23))</f>
        <v>4270400</v>
      </c>
      <c r="E24" s="164">
        <f t="shared" si="4"/>
        <v>125600</v>
      </c>
      <c r="F24" s="163">
        <f t="shared" si="5"/>
        <v>4144800</v>
      </c>
      <c r="G24" s="165">
        <f t="shared" si="6"/>
        <v>595406.44184757746</v>
      </c>
      <c r="H24" s="147">
        <f t="shared" si="7"/>
        <v>595406.44184757746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2027</v>
      </c>
      <c r="D25" s="166">
        <f>IF(F24+SUM(E$17:E24)=D$10,F24,D$10-SUM(E$17:E24))</f>
        <v>4144800</v>
      </c>
      <c r="E25" s="164">
        <f t="shared" si="4"/>
        <v>125600</v>
      </c>
      <c r="F25" s="163">
        <f t="shared" si="5"/>
        <v>4019200</v>
      </c>
      <c r="G25" s="165">
        <f t="shared" si="6"/>
        <v>581382.36895660509</v>
      </c>
      <c r="H25" s="147">
        <f t="shared" si="7"/>
        <v>581382.36895660509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2028</v>
      </c>
      <c r="D26" s="166">
        <f>IF(F25+SUM(E$17:E25)=D$10,F25,D$10-SUM(E$17:E25))</f>
        <v>4019200</v>
      </c>
      <c r="E26" s="164">
        <f t="shared" si="4"/>
        <v>125600</v>
      </c>
      <c r="F26" s="163">
        <f t="shared" si="5"/>
        <v>3893600</v>
      </c>
      <c r="G26" s="165">
        <f t="shared" si="6"/>
        <v>567358.2960656326</v>
      </c>
      <c r="H26" s="147">
        <f t="shared" si="7"/>
        <v>567358.2960656326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2029</v>
      </c>
      <c r="D27" s="166">
        <f>IF(F26+SUM(E$17:E26)=D$10,F26,D$10-SUM(E$17:E26))</f>
        <v>3893600</v>
      </c>
      <c r="E27" s="164">
        <f t="shared" si="4"/>
        <v>125600</v>
      </c>
      <c r="F27" s="163">
        <f t="shared" si="5"/>
        <v>3768000</v>
      </c>
      <c r="G27" s="165">
        <f t="shared" si="6"/>
        <v>553334.22317466012</v>
      </c>
      <c r="H27" s="147">
        <f t="shared" si="7"/>
        <v>553334.22317466012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2030</v>
      </c>
      <c r="D28" s="166">
        <f>IF(F27+SUM(E$17:E27)=D$10,F27,D$10-SUM(E$17:E27))</f>
        <v>3768000</v>
      </c>
      <c r="E28" s="164">
        <f t="shared" si="4"/>
        <v>125600</v>
      </c>
      <c r="F28" s="163">
        <f t="shared" si="5"/>
        <v>3642400</v>
      </c>
      <c r="G28" s="165">
        <f t="shared" si="6"/>
        <v>539310.15028368775</v>
      </c>
      <c r="H28" s="147">
        <f t="shared" si="7"/>
        <v>539310.15028368775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2031</v>
      </c>
      <c r="D29" s="166">
        <f>IF(F28+SUM(E$17:E28)=D$10,F28,D$10-SUM(E$17:E28))</f>
        <v>3642400</v>
      </c>
      <c r="E29" s="164">
        <f t="shared" si="4"/>
        <v>125600</v>
      </c>
      <c r="F29" s="163">
        <f t="shared" si="5"/>
        <v>3516800</v>
      </c>
      <c r="G29" s="165">
        <f t="shared" si="6"/>
        <v>525286.07739271526</v>
      </c>
      <c r="H29" s="147">
        <f t="shared" si="7"/>
        <v>525286.07739271526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2032</v>
      </c>
      <c r="D30" s="166">
        <f>IF(F29+SUM(E$17:E29)=D$10,F29,D$10-SUM(E$17:E29))</f>
        <v>3516800</v>
      </c>
      <c r="E30" s="164">
        <f t="shared" si="4"/>
        <v>125600</v>
      </c>
      <c r="F30" s="163">
        <f t="shared" si="5"/>
        <v>3391200</v>
      </c>
      <c r="G30" s="165">
        <f t="shared" si="6"/>
        <v>511262.00450174278</v>
      </c>
      <c r="H30" s="147">
        <f t="shared" si="7"/>
        <v>511262.00450174278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2033</v>
      </c>
      <c r="D31" s="166">
        <f>IF(F30+SUM(E$17:E30)=D$10,F30,D$10-SUM(E$17:E30))</f>
        <v>3391200</v>
      </c>
      <c r="E31" s="164">
        <f t="shared" si="4"/>
        <v>125600</v>
      </c>
      <c r="F31" s="163">
        <f t="shared" si="5"/>
        <v>3265600</v>
      </c>
      <c r="G31" s="165">
        <f t="shared" si="6"/>
        <v>497237.93161077029</v>
      </c>
      <c r="H31" s="147">
        <f t="shared" si="7"/>
        <v>497237.93161077029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2034</v>
      </c>
      <c r="D32" s="166">
        <f>IF(F31+SUM(E$17:E31)=D$10,F31,D$10-SUM(E$17:E31))</f>
        <v>3265600</v>
      </c>
      <c r="E32" s="164">
        <f t="shared" si="4"/>
        <v>125600</v>
      </c>
      <c r="F32" s="163">
        <f t="shared" si="5"/>
        <v>3140000</v>
      </c>
      <c r="G32" s="165">
        <f t="shared" si="6"/>
        <v>483213.8587197978</v>
      </c>
      <c r="H32" s="147">
        <f t="shared" si="7"/>
        <v>483213.8587197978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2035</v>
      </c>
      <c r="D33" s="166">
        <f>IF(F32+SUM(E$17:E32)=D$10,F32,D$10-SUM(E$17:E32))</f>
        <v>3140000</v>
      </c>
      <c r="E33" s="164">
        <f t="shared" si="4"/>
        <v>125600</v>
      </c>
      <c r="F33" s="163">
        <f t="shared" si="5"/>
        <v>3014400</v>
      </c>
      <c r="G33" s="165">
        <f t="shared" si="6"/>
        <v>469189.78582882538</v>
      </c>
      <c r="H33" s="147">
        <f t="shared" si="7"/>
        <v>469189.78582882538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2036</v>
      </c>
      <c r="D34" s="166">
        <f>IF(F33+SUM(E$17:E33)=D$10,F33,D$10-SUM(E$17:E33))</f>
        <v>3014400</v>
      </c>
      <c r="E34" s="164">
        <f t="shared" si="4"/>
        <v>125600</v>
      </c>
      <c r="F34" s="163">
        <f t="shared" si="5"/>
        <v>2888800</v>
      </c>
      <c r="G34" s="165">
        <f t="shared" si="6"/>
        <v>455165.71293785289</v>
      </c>
      <c r="H34" s="147">
        <f t="shared" si="7"/>
        <v>455165.71293785289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2037</v>
      </c>
      <c r="D35" s="166">
        <f>IF(F34+SUM(E$17:E34)=D$10,F34,D$10-SUM(E$17:E34))</f>
        <v>2888800</v>
      </c>
      <c r="E35" s="164">
        <f t="shared" si="4"/>
        <v>125600</v>
      </c>
      <c r="F35" s="163">
        <f t="shared" si="5"/>
        <v>2763200</v>
      </c>
      <c r="G35" s="165">
        <f t="shared" si="6"/>
        <v>441141.64004688041</v>
      </c>
      <c r="H35" s="147">
        <f t="shared" si="7"/>
        <v>441141.64004688041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2038</v>
      </c>
      <c r="D36" s="166">
        <f>IF(F35+SUM(E$17:E35)=D$10,F35,D$10-SUM(E$17:E35))</f>
        <v>2763200</v>
      </c>
      <c r="E36" s="164">
        <f t="shared" si="4"/>
        <v>125600</v>
      </c>
      <c r="F36" s="163">
        <f t="shared" si="5"/>
        <v>2637600</v>
      </c>
      <c r="G36" s="165">
        <f t="shared" si="6"/>
        <v>427117.56715590798</v>
      </c>
      <c r="H36" s="147">
        <f t="shared" si="7"/>
        <v>427117.56715590798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2039</v>
      </c>
      <c r="D37" s="166">
        <f>IF(F36+SUM(E$17:E36)=D$10,F36,D$10-SUM(E$17:E36))</f>
        <v>2637600</v>
      </c>
      <c r="E37" s="164">
        <f t="shared" si="4"/>
        <v>125600</v>
      </c>
      <c r="F37" s="163">
        <f t="shared" si="5"/>
        <v>2512000</v>
      </c>
      <c r="G37" s="165">
        <f t="shared" si="6"/>
        <v>413093.49426493549</v>
      </c>
      <c r="H37" s="147">
        <f t="shared" si="7"/>
        <v>413093.49426493549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2040</v>
      </c>
      <c r="D38" s="166">
        <f>IF(F37+SUM(E$17:E37)=D$10,F37,D$10-SUM(E$17:E37))</f>
        <v>2512000</v>
      </c>
      <c r="E38" s="164">
        <f t="shared" si="4"/>
        <v>125600</v>
      </c>
      <c r="F38" s="163">
        <f t="shared" si="5"/>
        <v>2386400</v>
      </c>
      <c r="G38" s="165">
        <f t="shared" si="6"/>
        <v>399069.42137396306</v>
      </c>
      <c r="H38" s="147">
        <f t="shared" si="7"/>
        <v>399069.42137396306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2041</v>
      </c>
      <c r="D39" s="166">
        <f>IF(F38+SUM(E$17:E38)=D$10,F38,D$10-SUM(E$17:E38))</f>
        <v>2386400</v>
      </c>
      <c r="E39" s="164">
        <f t="shared" si="4"/>
        <v>125600</v>
      </c>
      <c r="F39" s="163">
        <f t="shared" si="5"/>
        <v>2260800</v>
      </c>
      <c r="G39" s="165">
        <f t="shared" si="6"/>
        <v>385045.34848299058</v>
      </c>
      <c r="H39" s="147">
        <f t="shared" si="7"/>
        <v>385045.34848299058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2042</v>
      </c>
      <c r="D40" s="166">
        <f>IF(F39+SUM(E$17:E39)=D$10,F39,D$10-SUM(E$17:E39))</f>
        <v>2260800</v>
      </c>
      <c r="E40" s="164">
        <f t="shared" si="4"/>
        <v>125600</v>
      </c>
      <c r="F40" s="163">
        <f t="shared" si="5"/>
        <v>2135200</v>
      </c>
      <c r="G40" s="165">
        <f t="shared" si="6"/>
        <v>371021.27559201815</v>
      </c>
      <c r="H40" s="147">
        <f t="shared" si="7"/>
        <v>371021.27559201815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2043</v>
      </c>
      <c r="D41" s="166">
        <f>IF(F40+SUM(E$17:E40)=D$10,F40,D$10-SUM(E$17:E40))</f>
        <v>2135200</v>
      </c>
      <c r="E41" s="164">
        <f t="shared" si="4"/>
        <v>125600</v>
      </c>
      <c r="F41" s="163">
        <f t="shared" si="5"/>
        <v>2009600</v>
      </c>
      <c r="G41" s="165">
        <f t="shared" si="6"/>
        <v>356997.20270104567</v>
      </c>
      <c r="H41" s="147">
        <f t="shared" si="7"/>
        <v>356997.20270104567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2044</v>
      </c>
      <c r="D42" s="166">
        <f>IF(F41+SUM(E$17:E41)=D$10,F41,D$10-SUM(E$17:E41))</f>
        <v>2009600</v>
      </c>
      <c r="E42" s="164">
        <f t="shared" si="4"/>
        <v>125600</v>
      </c>
      <c r="F42" s="163">
        <f t="shared" si="5"/>
        <v>1884000</v>
      </c>
      <c r="G42" s="165">
        <f t="shared" si="6"/>
        <v>342973.12981007318</v>
      </c>
      <c r="H42" s="147">
        <f t="shared" si="7"/>
        <v>342973.12981007318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2045</v>
      </c>
      <c r="D43" s="166">
        <f>IF(F42+SUM(E$17:E42)=D$10,F42,D$10-SUM(E$17:E42))</f>
        <v>1884000</v>
      </c>
      <c r="E43" s="164">
        <f t="shared" si="4"/>
        <v>125600</v>
      </c>
      <c r="F43" s="163">
        <f t="shared" si="5"/>
        <v>1758400</v>
      </c>
      <c r="G43" s="165">
        <f t="shared" si="6"/>
        <v>328949.05691910069</v>
      </c>
      <c r="H43" s="147">
        <f t="shared" si="7"/>
        <v>328949.05691910069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2046</v>
      </c>
      <c r="D44" s="166">
        <f>IF(F43+SUM(E$17:E43)=D$10,F43,D$10-SUM(E$17:E43))</f>
        <v>1758400</v>
      </c>
      <c r="E44" s="164">
        <f t="shared" si="4"/>
        <v>125600</v>
      </c>
      <c r="F44" s="163">
        <f t="shared" si="5"/>
        <v>1632800</v>
      </c>
      <c r="G44" s="165">
        <f t="shared" si="6"/>
        <v>314924.98402812827</v>
      </c>
      <c r="H44" s="147">
        <f t="shared" si="7"/>
        <v>314924.98402812827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2047</v>
      </c>
      <c r="D45" s="166">
        <f>IF(F44+SUM(E$17:E44)=D$10,F44,D$10-SUM(E$17:E44))</f>
        <v>1632800</v>
      </c>
      <c r="E45" s="164">
        <f t="shared" si="4"/>
        <v>125600</v>
      </c>
      <c r="F45" s="163">
        <f t="shared" si="5"/>
        <v>1507200</v>
      </c>
      <c r="G45" s="165">
        <f t="shared" si="6"/>
        <v>300900.91113715578</v>
      </c>
      <c r="H45" s="147">
        <f t="shared" si="7"/>
        <v>300900.91113715578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2048</v>
      </c>
      <c r="D46" s="166">
        <f>IF(F45+SUM(E$17:E45)=D$10,F45,D$10-SUM(E$17:E45))</f>
        <v>1507200</v>
      </c>
      <c r="E46" s="164">
        <f t="shared" si="4"/>
        <v>125600</v>
      </c>
      <c r="F46" s="163">
        <f t="shared" si="5"/>
        <v>1381600</v>
      </c>
      <c r="G46" s="165">
        <f t="shared" si="6"/>
        <v>286876.83824618335</v>
      </c>
      <c r="H46" s="147">
        <f t="shared" si="7"/>
        <v>286876.83824618335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2049</v>
      </c>
      <c r="D47" s="166">
        <f>IF(F46+SUM(E$17:E46)=D$10,F46,D$10-SUM(E$17:E46))</f>
        <v>1381600</v>
      </c>
      <c r="E47" s="164">
        <f t="shared" si="4"/>
        <v>125600</v>
      </c>
      <c r="F47" s="163">
        <f t="shared" si="5"/>
        <v>1256000</v>
      </c>
      <c r="G47" s="165">
        <f t="shared" si="6"/>
        <v>272852.76535521087</v>
      </c>
      <c r="H47" s="147">
        <f t="shared" si="7"/>
        <v>272852.76535521087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2050</v>
      </c>
      <c r="D48" s="166">
        <f>IF(F47+SUM(E$17:E47)=D$10,F47,D$10-SUM(E$17:E47))</f>
        <v>1256000</v>
      </c>
      <c r="E48" s="164">
        <f t="shared" si="4"/>
        <v>125600</v>
      </c>
      <c r="F48" s="163">
        <f t="shared" si="5"/>
        <v>1130400</v>
      </c>
      <c r="G48" s="165">
        <f t="shared" si="6"/>
        <v>258828.69246423841</v>
      </c>
      <c r="H48" s="147">
        <f t="shared" si="7"/>
        <v>258828.69246423841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2051</v>
      </c>
      <c r="D49" s="166">
        <f>IF(F48+SUM(E$17:E48)=D$10,F48,D$10-SUM(E$17:E48))</f>
        <v>1130400</v>
      </c>
      <c r="E49" s="164">
        <f t="shared" si="4"/>
        <v>125600</v>
      </c>
      <c r="F49" s="163">
        <f t="shared" si="5"/>
        <v>1004800</v>
      </c>
      <c r="G49" s="165">
        <f t="shared" si="6"/>
        <v>244804.61957326595</v>
      </c>
      <c r="H49" s="147">
        <f t="shared" si="7"/>
        <v>244804.61957326595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2052</v>
      </c>
      <c r="D50" s="166">
        <f>IF(F49+SUM(E$17:E49)=D$10,F49,D$10-SUM(E$17:E49))</f>
        <v>1004800</v>
      </c>
      <c r="E50" s="164">
        <f t="shared" si="4"/>
        <v>125600</v>
      </c>
      <c r="F50" s="163">
        <f t="shared" si="5"/>
        <v>879200</v>
      </c>
      <c r="G50" s="165">
        <f t="shared" si="6"/>
        <v>230780.54668229347</v>
      </c>
      <c r="H50" s="147">
        <f t="shared" si="7"/>
        <v>230780.54668229347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2053</v>
      </c>
      <c r="D51" s="166">
        <f>IF(F50+SUM(E$17:E50)=D$10,F50,D$10-SUM(E$17:E50))</f>
        <v>879200</v>
      </c>
      <c r="E51" s="164">
        <f t="shared" si="4"/>
        <v>125600</v>
      </c>
      <c r="F51" s="163">
        <f t="shared" si="5"/>
        <v>753600</v>
      </c>
      <c r="G51" s="165">
        <f t="shared" si="6"/>
        <v>216756.47379132101</v>
      </c>
      <c r="H51" s="147">
        <f t="shared" si="7"/>
        <v>216756.47379132101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2054</v>
      </c>
      <c r="D52" s="166">
        <f>IF(F51+SUM(E$17:E51)=D$10,F51,D$10-SUM(E$17:E51))</f>
        <v>753600</v>
      </c>
      <c r="E52" s="164">
        <f t="shared" si="4"/>
        <v>125600</v>
      </c>
      <c r="F52" s="163">
        <f t="shared" si="5"/>
        <v>628000</v>
      </c>
      <c r="G52" s="165">
        <f t="shared" si="6"/>
        <v>202732.40090034856</v>
      </c>
      <c r="H52" s="147">
        <f t="shared" si="7"/>
        <v>202732.40090034856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2055</v>
      </c>
      <c r="D53" s="166">
        <f>IF(F52+SUM(E$17:E52)=D$10,F52,D$10-SUM(E$17:E52))</f>
        <v>628000</v>
      </c>
      <c r="E53" s="164">
        <f t="shared" si="4"/>
        <v>125600</v>
      </c>
      <c r="F53" s="163">
        <f t="shared" si="5"/>
        <v>502400</v>
      </c>
      <c r="G53" s="165">
        <f t="shared" si="6"/>
        <v>188708.32800937607</v>
      </c>
      <c r="H53" s="147">
        <f t="shared" si="7"/>
        <v>188708.32800937607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2056</v>
      </c>
      <c r="D54" s="166">
        <f>IF(F53+SUM(E$17:E53)=D$10,F53,D$10-SUM(E$17:E53))</f>
        <v>502400</v>
      </c>
      <c r="E54" s="164">
        <f t="shared" si="4"/>
        <v>125600</v>
      </c>
      <c r="F54" s="163">
        <f t="shared" si="5"/>
        <v>376800</v>
      </c>
      <c r="G54" s="165">
        <f t="shared" si="6"/>
        <v>174684.25511840361</v>
      </c>
      <c r="H54" s="147">
        <f t="shared" si="7"/>
        <v>174684.25511840361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2057</v>
      </c>
      <c r="D55" s="166">
        <f>IF(F54+SUM(E$17:E54)=D$10,F54,D$10-SUM(E$17:E54))</f>
        <v>376800</v>
      </c>
      <c r="E55" s="164">
        <f t="shared" si="4"/>
        <v>125600</v>
      </c>
      <c r="F55" s="163">
        <f t="shared" si="5"/>
        <v>251200</v>
      </c>
      <c r="G55" s="165">
        <f t="shared" si="6"/>
        <v>160660.18222743116</v>
      </c>
      <c r="H55" s="147">
        <f t="shared" si="7"/>
        <v>160660.18222743116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2058</v>
      </c>
      <c r="D56" s="166">
        <f>IF(F55+SUM(E$17:E55)=D$10,F55,D$10-SUM(E$17:E55))</f>
        <v>251200</v>
      </c>
      <c r="E56" s="164">
        <f t="shared" si="4"/>
        <v>125600</v>
      </c>
      <c r="F56" s="163">
        <f t="shared" si="5"/>
        <v>125600</v>
      </c>
      <c r="G56" s="165">
        <f t="shared" si="6"/>
        <v>146636.1093364587</v>
      </c>
      <c r="H56" s="147">
        <f t="shared" si="7"/>
        <v>146636.1093364587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2059</v>
      </c>
      <c r="D57" s="166">
        <f>IF(F56+SUM(E$17:E56)=D$10,F56,D$10-SUM(E$17:E56))</f>
        <v>125600</v>
      </c>
      <c r="E57" s="164">
        <f t="shared" si="4"/>
        <v>125600</v>
      </c>
      <c r="F57" s="163">
        <f t="shared" si="5"/>
        <v>0</v>
      </c>
      <c r="G57" s="165">
        <f t="shared" si="6"/>
        <v>132612.03644548624</v>
      </c>
      <c r="H57" s="147">
        <f t="shared" si="7"/>
        <v>132612.03644548624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2060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2061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2074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5024000</v>
      </c>
      <c r="F73" s="115"/>
      <c r="G73" s="115">
        <f>SUM(G17:G72)</f>
        <v>16523739.770597417</v>
      </c>
      <c r="H73" s="115">
        <f>SUM(H17:H72)</f>
        <v>16523739.770597417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26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Tulsa Southeast - E. 61st St 138 kV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51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topLeftCell="D70" zoomScaleNormal="100" zoomScaleSheetLayoutView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0.7109375" customWidth="1"/>
    <col min="4" max="9" width="17.7109375" customWidth="1"/>
    <col min="10" max="10" width="17.7109375" bestFit="1" customWidth="1"/>
    <col min="11" max="11" width="2.140625" customWidth="1"/>
    <col min="12" max="15" width="17.7109375" customWidth="1"/>
    <col min="16" max="16" width="19.5703125" customWidth="1"/>
    <col min="17" max="17" width="2.140625" customWidth="1"/>
    <col min="18" max="18" width="16.42578125" customWidth="1"/>
    <col min="19" max="19" width="52.42578125" customWidth="1"/>
  </cols>
  <sheetData>
    <row r="1" spans="1:19" ht="18">
      <c r="A1" s="504" t="str">
        <f>PSO.WS.F.BPU.ATRR.Projected!A1</f>
        <v xml:space="preserve">AEP West SPP Member Companies 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Q1" s="7"/>
      <c r="R1" s="7"/>
    </row>
    <row r="2" spans="1:19" ht="18">
      <c r="A2" s="504" t="str">
        <f>PSO.WS.F.BPU.ATRR.Projected!A2</f>
        <v>2019 Cost of Service Formula Rate Projected on 2018 FF1 Balances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Q2" s="240" t="s">
        <v>120</v>
      </c>
      <c r="R2" s="7"/>
    </row>
    <row r="3" spans="1:19" ht="18">
      <c r="A3" s="507" t="s">
        <v>136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Q3" s="7"/>
      <c r="R3" s="7"/>
    </row>
    <row r="4" spans="1:19" ht="18">
      <c r="A4" s="506" t="str">
        <f>"Based on a Carrying Charge Derived from ""Trued-Up"" "&amp;M16&amp;" Data"</f>
        <v>Based on a Carrying Charge Derived from "Trued-Up" 2017 Data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Q4" s="7"/>
      <c r="R4" s="7"/>
    </row>
    <row r="5" spans="1:19" ht="18">
      <c r="A5" s="512" t="str">
        <f>PSO.WS.F.BPU.ATRR.Projected!A5</f>
        <v>PUBLIC SERVICE COMPANY OF OKLAHOMA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Q5" s="7"/>
      <c r="R5" s="7"/>
    </row>
    <row r="6" spans="1:19" ht="20.25">
      <c r="A6" s="179"/>
      <c r="C6" s="71"/>
      <c r="D6" s="9"/>
      <c r="I6" s="10"/>
      <c r="K6" s="7"/>
      <c r="Q6" s="7"/>
      <c r="R6" s="7"/>
    </row>
    <row r="7" spans="1:19">
      <c r="D7" s="9"/>
      <c r="I7" s="10"/>
      <c r="K7" s="7"/>
      <c r="Q7" s="7"/>
      <c r="R7" s="7"/>
    </row>
    <row r="8" spans="1:19" ht="38.25" customHeight="1">
      <c r="B8" s="463" t="s">
        <v>0</v>
      </c>
      <c r="C8" s="509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510"/>
      <c r="E8" s="510"/>
      <c r="F8" s="510"/>
      <c r="G8" s="510"/>
      <c r="H8" s="510"/>
      <c r="I8" s="510"/>
      <c r="K8" s="7"/>
      <c r="Q8" s="7"/>
      <c r="R8" s="7"/>
    </row>
    <row r="9" spans="1:19" ht="15.75" customHeight="1">
      <c r="C9" s="6"/>
      <c r="D9" s="6"/>
      <c r="E9" s="6"/>
      <c r="F9" s="6"/>
      <c r="G9" s="6"/>
      <c r="H9" s="6"/>
      <c r="I9" s="6"/>
      <c r="K9" s="7"/>
      <c r="Q9" s="7"/>
      <c r="R9" s="7"/>
    </row>
    <row r="10" spans="1:19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I10" s="10"/>
      <c r="K10" s="7"/>
      <c r="Q10" s="7"/>
      <c r="R10" s="7"/>
    </row>
    <row r="11" spans="1:19">
      <c r="D11" s="9"/>
      <c r="I11" s="10"/>
      <c r="K11" s="7"/>
      <c r="Q11" s="7"/>
      <c r="R11" s="7"/>
    </row>
    <row r="12" spans="1:19">
      <c r="C12" s="11" t="str">
        <f>S105</f>
        <v xml:space="preserve">   ROE w/o incentives  (True-Up TCOS, ln 135)</v>
      </c>
      <c r="D12" s="9"/>
      <c r="E12" s="12"/>
      <c r="F12" s="13">
        <f>+R105</f>
        <v>0.112</v>
      </c>
      <c r="G12" s="13"/>
      <c r="H12" s="14"/>
      <c r="I12" s="15"/>
      <c r="J12" s="16"/>
      <c r="K12" s="17"/>
      <c r="L12" s="16"/>
      <c r="M12" s="16"/>
      <c r="N12" s="16"/>
      <c r="O12" s="16"/>
      <c r="P12" s="16"/>
      <c r="Q12" s="17"/>
      <c r="R12" s="4"/>
      <c r="S12" s="1"/>
    </row>
    <row r="13" spans="1:19" ht="13.5" thickBot="1">
      <c r="C13" s="11" t="s">
        <v>1</v>
      </c>
      <c r="D13" s="9"/>
      <c r="E13" s="12"/>
      <c r="F13" s="19">
        <f>R106</f>
        <v>0</v>
      </c>
      <c r="G13" s="180" t="s">
        <v>147</v>
      </c>
      <c r="L13" s="16"/>
      <c r="M13" s="16"/>
      <c r="N13" s="16"/>
      <c r="O13" s="16"/>
      <c r="P13" s="16"/>
      <c r="Q13" s="17"/>
      <c r="R13" s="4"/>
      <c r="S13" s="1"/>
    </row>
    <row r="14" spans="1:19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0.112</v>
      </c>
      <c r="G14" s="21" t="s">
        <v>2</v>
      </c>
      <c r="I14" s="16"/>
      <c r="J14" s="16"/>
      <c r="K14" s="17"/>
      <c r="L14" s="181" t="s">
        <v>84</v>
      </c>
      <c r="M14" s="182"/>
      <c r="N14" s="182"/>
      <c r="O14" s="182"/>
      <c r="P14" s="183"/>
      <c r="Q14" s="17"/>
      <c r="R14" s="4"/>
      <c r="S14" s="1"/>
    </row>
    <row r="15" spans="1:19">
      <c r="C15" s="11" t="s">
        <v>225</v>
      </c>
      <c r="D15" s="9"/>
      <c r="E15" s="12"/>
      <c r="F15" s="20"/>
      <c r="G15" s="20"/>
      <c r="H15" s="12"/>
      <c r="I15" s="16"/>
      <c r="J15" s="16"/>
      <c r="K15" s="17"/>
      <c r="L15" s="31"/>
      <c r="M15" s="17"/>
      <c r="N15" s="17" t="s">
        <v>8</v>
      </c>
      <c r="O15" s="17" t="s">
        <v>9</v>
      </c>
      <c r="P15" s="33" t="s">
        <v>10</v>
      </c>
      <c r="Q15" s="17"/>
      <c r="R15" s="4"/>
      <c r="S15" s="1"/>
    </row>
    <row r="16" spans="1:19">
      <c r="C16" s="17"/>
      <c r="D16" s="23" t="s">
        <v>4</v>
      </c>
      <c r="E16" s="23" t="s">
        <v>5</v>
      </c>
      <c r="F16" s="24" t="s">
        <v>6</v>
      </c>
      <c r="G16" s="24"/>
      <c r="H16" s="12"/>
      <c r="I16" s="16"/>
      <c r="J16" s="16"/>
      <c r="K16" s="17"/>
      <c r="L16" s="31" t="s">
        <v>85</v>
      </c>
      <c r="M16" s="226">
        <f>+R104</f>
        <v>2017</v>
      </c>
      <c r="N16" s="7"/>
      <c r="O16" s="7"/>
      <c r="P16" s="39"/>
      <c r="Q16" s="17"/>
      <c r="R16" s="4"/>
      <c r="S16" s="1"/>
    </row>
    <row r="17" spans="3:19">
      <c r="C17" s="25" t="s">
        <v>7</v>
      </c>
      <c r="D17" s="26">
        <f>R107</f>
        <v>0.51618961502275151</v>
      </c>
      <c r="E17" s="27">
        <f>R108</f>
        <v>4.5871001067944304E-2</v>
      </c>
      <c r="F17" s="184">
        <f>E17*D17</f>
        <v>2.3678134381970393E-2</v>
      </c>
      <c r="G17" s="184"/>
      <c r="H17" s="12"/>
      <c r="I17" s="16"/>
      <c r="J17" s="29"/>
      <c r="K17" s="30"/>
      <c r="L17" s="38"/>
      <c r="M17" s="351" t="s">
        <v>210</v>
      </c>
      <c r="N17" s="186">
        <f>SUM('P.001:P.xyz - blank'!M87)</f>
        <v>6729904.4711072175</v>
      </c>
      <c r="O17" s="186">
        <f>SUM('P.001:P.xyz - blank'!N87)</f>
        <v>6729904.4711072175</v>
      </c>
      <c r="P17" s="187">
        <f>+O17-N17</f>
        <v>0</v>
      </c>
      <c r="Q17" s="30"/>
      <c r="R17" s="4"/>
      <c r="S17" s="1"/>
    </row>
    <row r="18" spans="3:19" ht="13.5" thickBot="1">
      <c r="C18" s="25" t="s">
        <v>11</v>
      </c>
      <c r="D18" s="26">
        <f>R109</f>
        <v>0</v>
      </c>
      <c r="E18" s="27">
        <f>R110</f>
        <v>0</v>
      </c>
      <c r="F18" s="184">
        <f>E18*D18</f>
        <v>0</v>
      </c>
      <c r="G18" s="184"/>
      <c r="H18" s="35"/>
      <c r="I18" s="35"/>
      <c r="J18" s="36"/>
      <c r="K18" s="37"/>
      <c r="L18" s="38"/>
      <c r="M18" s="350" t="s">
        <v>209</v>
      </c>
      <c r="N18" s="188">
        <f>SUM('P.001:P.xyz - blank'!M88)</f>
        <v>6814046.4098945772</v>
      </c>
      <c r="O18" s="188">
        <f>SUM('P.001:P.xyz - blank'!N88)</f>
        <v>6814046.4098945772</v>
      </c>
      <c r="P18" s="45">
        <f>+O18-N18</f>
        <v>0</v>
      </c>
      <c r="Q18" s="37"/>
      <c r="R18" s="4"/>
      <c r="S18" s="1"/>
    </row>
    <row r="19" spans="3:19">
      <c r="C19" s="40" t="s">
        <v>12</v>
      </c>
      <c r="D19" s="26">
        <f>R111</f>
        <v>0.48381038497724849</v>
      </c>
      <c r="E19" s="27">
        <f>+F14</f>
        <v>0.112</v>
      </c>
      <c r="F19" s="189">
        <f>E19*D19</f>
        <v>5.4186763117451832E-2</v>
      </c>
      <c r="G19" s="189"/>
      <c r="H19" s="35"/>
      <c r="I19" s="35"/>
      <c r="J19" s="20"/>
      <c r="K19" s="37"/>
      <c r="L19" s="38"/>
      <c r="M19" s="185" t="str">
        <f>"True-up Adjustment For "&amp;M16&amp;""</f>
        <v>True-up Adjustment For 2017</v>
      </c>
      <c r="N19" s="190">
        <f>+N18-N17</f>
        <v>84141.938787359744</v>
      </c>
      <c r="O19" s="190">
        <f>+O18-O17</f>
        <v>84141.938787359744</v>
      </c>
      <c r="P19" s="191">
        <f>+P18-P17</f>
        <v>0</v>
      </c>
      <c r="Q19" s="37"/>
      <c r="R19" s="4"/>
      <c r="S19" s="1"/>
    </row>
    <row r="20" spans="3:19">
      <c r="C20" s="11"/>
      <c r="D20" s="12"/>
      <c r="E20" s="46" t="s">
        <v>14</v>
      </c>
      <c r="F20" s="184">
        <f>SUM(F17:F19)</f>
        <v>7.7864897499422228E-2</v>
      </c>
      <c r="G20" s="184"/>
      <c r="H20" s="192"/>
      <c r="I20" s="35"/>
      <c r="J20" s="36"/>
      <c r="K20" s="37"/>
      <c r="L20" s="38"/>
      <c r="M20" s="7"/>
      <c r="N20" s="230" t="str">
        <f>IF(ROUND(N19,0)=ROUND(SUM('P.001:P.xyz - blank'!M89),0),"","ERROR")</f>
        <v/>
      </c>
      <c r="O20" s="230" t="str">
        <f>IF(ROUND(O19,0)=ROUND(SUM('P.001:P.xyz - blank'!N89),0),"","ERROR")</f>
        <v/>
      </c>
      <c r="P20" s="230" t="str">
        <f>IF(P19=SUM('P.001:P.xyz - blank'!O89),"","ERROR")</f>
        <v/>
      </c>
      <c r="Q20" s="37"/>
      <c r="R20" s="4"/>
      <c r="S20" s="1"/>
    </row>
    <row r="21" spans="3:19" ht="13.5" thickBot="1">
      <c r="D21" s="47"/>
      <c r="E21" s="47"/>
      <c r="F21" s="35"/>
      <c r="G21" s="35"/>
      <c r="H21" s="35"/>
      <c r="I21" s="35"/>
      <c r="J21" s="35"/>
      <c r="K21" s="48"/>
      <c r="L21" s="193"/>
      <c r="M21" s="43"/>
      <c r="N21" s="194"/>
      <c r="O21" s="194"/>
      <c r="P21" s="45"/>
      <c r="Q21" s="48"/>
      <c r="R21" s="4"/>
      <c r="S21" s="1"/>
    </row>
    <row r="22" spans="3:19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50"/>
      <c r="H22" s="35"/>
      <c r="I22" s="12"/>
      <c r="J22" s="35"/>
      <c r="K22" s="48"/>
      <c r="L22" s="35"/>
      <c r="M22" s="35"/>
      <c r="N22" s="35"/>
      <c r="O22" s="35"/>
      <c r="P22" s="35"/>
      <c r="Q22" s="48"/>
      <c r="R22" s="4"/>
      <c r="S22" s="1"/>
    </row>
    <row r="23" spans="3:19">
      <c r="C23" s="17"/>
      <c r="D23" s="47"/>
      <c r="E23" s="47"/>
      <c r="F23" s="48"/>
      <c r="G23" s="48"/>
      <c r="H23" s="48"/>
      <c r="I23" s="48"/>
      <c r="J23" s="48"/>
      <c r="K23" s="48"/>
      <c r="L23" s="49" t="s">
        <v>15</v>
      </c>
      <c r="M23" s="48"/>
      <c r="N23" s="48"/>
      <c r="O23" s="48"/>
      <c r="P23" s="48"/>
      <c r="Q23" s="48"/>
      <c r="R23" s="4"/>
      <c r="S23" s="1"/>
    </row>
    <row r="24" spans="3:19">
      <c r="C24" s="11" t="str">
        <f>S112</f>
        <v xml:space="preserve">   Rate Base  (True-Up TCOS, ln 63)</v>
      </c>
      <c r="D24" s="12"/>
      <c r="E24" s="52">
        <f>R112</f>
        <v>454662284.99494523</v>
      </c>
      <c r="F24" s="53"/>
      <c r="G24" s="53"/>
      <c r="H24" s="48"/>
      <c r="I24" s="48"/>
      <c r="J24" s="48"/>
      <c r="K24" s="48"/>
      <c r="L24" t="s">
        <v>16</v>
      </c>
      <c r="M24" s="48"/>
      <c r="N24" s="48"/>
      <c r="O24" s="48"/>
      <c r="P24" s="53"/>
      <c r="Q24" s="48"/>
      <c r="R24" s="4"/>
      <c r="S24" s="1"/>
    </row>
    <row r="25" spans="3:19">
      <c r="C25" s="17" t="s">
        <v>17</v>
      </c>
      <c r="D25" s="14"/>
      <c r="E25" s="54">
        <f>F20</f>
        <v>7.7864897499422228E-2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"/>
      <c r="S25" s="1"/>
    </row>
    <row r="26" spans="3:19">
      <c r="C26" s="55" t="s">
        <v>18</v>
      </c>
      <c r="D26" s="55"/>
      <c r="E26" s="36">
        <f>E24*E25</f>
        <v>35402232.217984505</v>
      </c>
      <c r="F26" s="48"/>
      <c r="G26" s="48"/>
      <c r="H26" s="48"/>
      <c r="I26" s="48"/>
      <c r="J26" s="37"/>
      <c r="K26" s="37"/>
      <c r="L26" s="37"/>
      <c r="M26" s="37"/>
      <c r="N26" s="37"/>
      <c r="O26" s="37"/>
      <c r="P26" s="48"/>
      <c r="Q26" s="37"/>
      <c r="R26" s="4"/>
      <c r="S26" s="1"/>
    </row>
    <row r="27" spans="3:19">
      <c r="C27" s="56"/>
      <c r="D27" s="16"/>
      <c r="E27" s="16"/>
      <c r="F27" s="48"/>
      <c r="G27" s="48"/>
      <c r="H27" s="48"/>
      <c r="I27" s="48"/>
      <c r="J27" s="37"/>
      <c r="K27" s="37"/>
      <c r="L27" s="37"/>
      <c r="M27" s="37"/>
      <c r="N27" s="37"/>
      <c r="O27" s="37"/>
      <c r="P27" s="48"/>
      <c r="Q27" s="37"/>
      <c r="R27" s="4"/>
      <c r="S27" s="1"/>
    </row>
    <row r="28" spans="3:19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8"/>
      <c r="J28" s="59"/>
      <c r="K28" s="59"/>
      <c r="L28" s="59"/>
      <c r="M28" s="59"/>
      <c r="N28" s="59"/>
      <c r="O28" s="59"/>
      <c r="P28" s="58"/>
      <c r="Q28" s="59"/>
      <c r="R28" s="4"/>
      <c r="S28" s="1"/>
    </row>
    <row r="29" spans="3:19">
      <c r="C29" s="11"/>
      <c r="D29" s="16"/>
      <c r="E29" s="16"/>
      <c r="F29" s="48"/>
      <c r="G29" s="48"/>
      <c r="H29" s="48"/>
      <c r="I29" s="48"/>
      <c r="J29" s="37"/>
      <c r="K29" s="37"/>
      <c r="L29" s="37"/>
      <c r="M29" s="37"/>
      <c r="N29" s="37"/>
      <c r="O29" s="37"/>
      <c r="P29" s="48"/>
      <c r="Q29" s="37"/>
      <c r="R29" s="4"/>
      <c r="S29" s="1"/>
    </row>
    <row r="30" spans="3:19">
      <c r="C30" s="17" t="s">
        <v>19</v>
      </c>
      <c r="D30" s="46"/>
      <c r="E30" s="60">
        <f>E26</f>
        <v>35402232.217984505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"/>
      <c r="S30" s="1"/>
    </row>
    <row r="31" spans="3:19">
      <c r="C31" s="11" t="str">
        <f>S113</f>
        <v xml:space="preserve">   Tax Rate  (True-Up TCOS, ln 105)</v>
      </c>
      <c r="D31" s="46"/>
      <c r="E31" s="61">
        <f>R113</f>
        <v>0.38568499999999994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"/>
      <c r="S31" s="1"/>
    </row>
    <row r="32" spans="3:19">
      <c r="C32" s="17" t="s">
        <v>20</v>
      </c>
      <c r="D32" s="2"/>
      <c r="E32" s="20">
        <f>IF(F17&gt;0,($E31/(1-$E31))*(1-$F17/$F20),0)</f>
        <v>0.43691114344255833</v>
      </c>
      <c r="F32" s="1"/>
      <c r="G32" s="1"/>
      <c r="H32" s="1"/>
      <c r="I32" s="3"/>
      <c r="J32" s="1"/>
      <c r="K32" s="4"/>
      <c r="L32" s="1"/>
      <c r="M32" s="1"/>
      <c r="N32" s="1"/>
      <c r="O32" s="1"/>
      <c r="P32" s="1"/>
      <c r="Q32" s="4"/>
      <c r="R32" s="4"/>
      <c r="S32" s="103"/>
    </row>
    <row r="33" spans="2:19">
      <c r="C33" s="56" t="s">
        <v>21</v>
      </c>
      <c r="D33" s="2"/>
      <c r="E33" s="63">
        <f>E30*E32</f>
        <v>15467629.758778587</v>
      </c>
      <c r="F33" s="1"/>
      <c r="G33" s="1"/>
      <c r="H33" s="1"/>
      <c r="I33" s="3"/>
      <c r="J33" s="1"/>
      <c r="K33" s="4"/>
      <c r="L33" s="1"/>
      <c r="M33" s="1"/>
      <c r="N33" s="1"/>
      <c r="O33" s="1"/>
      <c r="P33" s="1"/>
      <c r="Q33" s="4"/>
      <c r="R33" s="4"/>
      <c r="S33" s="1"/>
    </row>
    <row r="34" spans="2:19" ht="15">
      <c r="C34" s="11" t="str">
        <f>S114</f>
        <v xml:space="preserve">   ITC Adjustment  (True-Up TCOS, ln 102)</v>
      </c>
      <c r="D34" s="65"/>
      <c r="E34" s="68">
        <f>R114</f>
        <v>-487039.39732408116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  <c r="R34" s="4"/>
      <c r="S34" s="1"/>
    </row>
    <row r="35" spans="2:19" ht="15">
      <c r="C35" s="11" t="str">
        <f>S115</f>
        <v xml:space="preserve">   Excess DFIT Adjustment  (TCOS, ln 106)</v>
      </c>
      <c r="D35" s="65"/>
      <c r="E35" s="68">
        <f>R115</f>
        <v>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  <c r="R35" s="4"/>
      <c r="S35" s="1"/>
    </row>
    <row r="36" spans="2:19" ht="15">
      <c r="C36" s="11" t="str">
        <f>S116</f>
        <v xml:space="preserve">   Tax Effect of Permanent Differences Adj  (TCOS, ln 107)</v>
      </c>
      <c r="D36" s="65"/>
      <c r="E36" s="66">
        <f>R116</f>
        <v>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  <c r="R36" s="4"/>
      <c r="S36" s="1"/>
    </row>
    <row r="37" spans="2:19" ht="15">
      <c r="C37" s="56" t="s">
        <v>22</v>
      </c>
      <c r="D37" s="65"/>
      <c r="E37" s="68">
        <f>E33+E34+E35+E36</f>
        <v>14980590.361454505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  <c r="R37" s="4"/>
      <c r="S37" s="1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4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4"/>
      <c r="S39" s="1"/>
    </row>
    <row r="40" spans="2:19" ht="18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4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4"/>
      <c r="S41" s="1"/>
    </row>
    <row r="42" spans="2:19" ht="15.75">
      <c r="C42" s="8" t="s">
        <v>24</v>
      </c>
      <c r="D42" s="65"/>
      <c r="E42" s="65"/>
      <c r="F42" s="72"/>
      <c r="G42" s="72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4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4"/>
      <c r="S43" s="1"/>
    </row>
    <row r="44" spans="2:19" ht="12.75" customHeight="1">
      <c r="B44" s="1"/>
      <c r="C44" s="11" t="str">
        <f>S117</f>
        <v xml:space="preserve">   Net Revenue Requirement  (True-Up TCOS, ln 109)</v>
      </c>
      <c r="D44" s="74"/>
      <c r="E44" s="74"/>
      <c r="F44" s="68">
        <f>R117</f>
        <v>94283133.637234092</v>
      </c>
      <c r="G44" s="68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4"/>
      <c r="S44" s="1"/>
    </row>
    <row r="45" spans="2:19">
      <c r="B45" s="1"/>
      <c r="C45" s="11" t="str">
        <f>S118</f>
        <v xml:space="preserve">   Return  (True-Up TCOS, ln 104)</v>
      </c>
      <c r="D45" s="74"/>
      <c r="E45" s="74"/>
      <c r="F45" s="68">
        <f>R118</f>
        <v>35402232.217984505</v>
      </c>
      <c r="G45" s="75"/>
      <c r="H45" s="76"/>
      <c r="I45" s="76"/>
      <c r="J45" s="76"/>
      <c r="K45" s="76"/>
      <c r="L45" s="76"/>
      <c r="M45" s="76"/>
      <c r="N45" s="76"/>
      <c r="O45" s="76"/>
      <c r="P45" s="68"/>
      <c r="Q45" s="76"/>
      <c r="R45" s="4"/>
      <c r="S45" s="1"/>
    </row>
    <row r="46" spans="2:19">
      <c r="B46" s="1"/>
      <c r="C46" s="11" t="str">
        <f>S119</f>
        <v xml:space="preserve">   Income Taxes  (True-Up TCOS, ln 103)</v>
      </c>
      <c r="D46" s="74"/>
      <c r="E46" s="74"/>
      <c r="F46" s="68">
        <f>R119</f>
        <v>14980590.361454505</v>
      </c>
      <c r="G46" s="68"/>
      <c r="H46" s="74"/>
      <c r="I46" s="74"/>
      <c r="J46" s="77"/>
      <c r="K46" s="77"/>
      <c r="L46" s="77"/>
      <c r="M46" s="77"/>
      <c r="N46" s="77"/>
      <c r="O46" s="77"/>
      <c r="P46" s="74"/>
      <c r="Q46" s="77"/>
      <c r="R46" s="4"/>
      <c r="S46" s="1"/>
    </row>
    <row r="47" spans="2:19">
      <c r="B47" s="1"/>
      <c r="C47" s="11" t="str">
        <f>S120</f>
        <v xml:space="preserve">  Gross Margin Taxes  (True-Up TCOS, ln 108)</v>
      </c>
      <c r="D47" s="74"/>
      <c r="E47" s="74"/>
      <c r="F47" s="66">
        <f>R120</f>
        <v>0</v>
      </c>
      <c r="G47" s="68"/>
      <c r="H47" s="74"/>
      <c r="I47" s="74"/>
      <c r="J47" s="77"/>
      <c r="K47" s="77"/>
      <c r="L47" s="77"/>
      <c r="M47" s="77"/>
      <c r="N47" s="77"/>
      <c r="O47" s="77"/>
      <c r="P47" s="74"/>
      <c r="Q47" s="77"/>
      <c r="R47" s="4"/>
      <c r="S47" s="1"/>
    </row>
    <row r="48" spans="2:19">
      <c r="B48" s="1"/>
      <c r="C48" s="22" t="s">
        <v>25</v>
      </c>
      <c r="D48" s="74"/>
      <c r="E48" s="74"/>
      <c r="F48" s="75">
        <f>F44-F45-F46-F47</f>
        <v>43900311.057795078</v>
      </c>
      <c r="G48" s="75"/>
      <c r="H48" s="78"/>
      <c r="I48" s="74"/>
      <c r="J48" s="78"/>
      <c r="K48" s="78"/>
      <c r="L48" s="78"/>
      <c r="M48" s="78"/>
      <c r="N48" s="78"/>
      <c r="O48" s="78"/>
      <c r="P48" s="78"/>
      <c r="Q48" s="78"/>
      <c r="R48" s="4"/>
      <c r="S48" s="1"/>
    </row>
    <row r="49" spans="2:19">
      <c r="B49" s="1"/>
      <c r="C49" s="73"/>
      <c r="D49" s="74"/>
      <c r="E49" s="74"/>
      <c r="F49" s="68"/>
      <c r="G49" s="68"/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4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68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4"/>
      <c r="S50" s="1"/>
    </row>
    <row r="51" spans="2:19">
      <c r="B51" s="1"/>
      <c r="C51" s="73"/>
      <c r="D51" s="81"/>
      <c r="E51" s="81"/>
      <c r="F51" s="68"/>
      <c r="G51" s="68"/>
      <c r="H51" s="79"/>
      <c r="I51" s="80"/>
      <c r="J51" s="80"/>
      <c r="K51" s="80"/>
      <c r="L51" s="80"/>
      <c r="M51" s="80"/>
      <c r="N51" s="80"/>
      <c r="O51" s="80"/>
      <c r="P51" s="80"/>
      <c r="Q51" s="80"/>
      <c r="R51" s="4"/>
      <c r="S51" s="1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43900311.057795078</v>
      </c>
      <c r="G52" s="68"/>
      <c r="H52" s="74"/>
      <c r="I52" s="74"/>
      <c r="J52" s="74"/>
      <c r="K52" s="74"/>
      <c r="L52" s="74"/>
      <c r="M52" s="74"/>
      <c r="N52" s="74"/>
      <c r="O52" s="74"/>
      <c r="P52" s="84"/>
      <c r="Q52" s="74"/>
      <c r="R52" s="4"/>
      <c r="S52" s="1"/>
    </row>
    <row r="53" spans="2:19">
      <c r="B53" s="1"/>
      <c r="C53" s="17" t="s">
        <v>98</v>
      </c>
      <c r="D53" s="86"/>
      <c r="E53" s="22"/>
      <c r="F53" s="87">
        <f>E26</f>
        <v>35402232.217984505</v>
      </c>
      <c r="G53" s="87"/>
      <c r="H53" s="22"/>
      <c r="I53" s="88"/>
      <c r="J53" s="22"/>
      <c r="K53" s="22"/>
      <c r="L53" s="22"/>
      <c r="M53" s="22"/>
      <c r="N53" s="22"/>
      <c r="O53" s="22"/>
      <c r="P53" s="22"/>
      <c r="Q53" s="22"/>
      <c r="R53" s="4"/>
      <c r="S53" s="1"/>
    </row>
    <row r="54" spans="2:19" ht="12.75" customHeight="1">
      <c r="B54" s="1"/>
      <c r="C54" s="11" t="s">
        <v>26</v>
      </c>
      <c r="D54" s="74"/>
      <c r="E54" s="74"/>
      <c r="F54" s="195">
        <f>E37</f>
        <v>14980590.361454505</v>
      </c>
      <c r="G54" s="89"/>
      <c r="H54" s="1"/>
      <c r="I54" s="3"/>
      <c r="J54" s="1"/>
      <c r="K54" s="4"/>
      <c r="L54" s="1"/>
      <c r="M54" s="1"/>
      <c r="N54" s="1"/>
      <c r="O54" s="1"/>
      <c r="P54" s="1"/>
      <c r="Q54" s="4"/>
      <c r="R54" s="4"/>
      <c r="S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94283133.637234077</v>
      </c>
      <c r="G55" s="63"/>
      <c r="H55" s="1"/>
      <c r="I55" s="3"/>
      <c r="J55" s="1"/>
      <c r="K55" s="4"/>
      <c r="L55" s="1"/>
      <c r="M55" s="1"/>
      <c r="N55" s="1"/>
      <c r="O55" s="1"/>
      <c r="P55" s="1"/>
      <c r="Q55" s="4"/>
      <c r="R55" s="4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87"/>
      <c r="H56" s="1"/>
      <c r="I56" s="3"/>
      <c r="J56" s="1"/>
      <c r="K56" s="4"/>
      <c r="L56" s="1"/>
      <c r="M56" s="1"/>
      <c r="N56" s="1"/>
      <c r="O56" s="1"/>
      <c r="P56" s="1"/>
      <c r="Q56" s="4"/>
      <c r="R56" s="4"/>
      <c r="S56" s="1"/>
    </row>
    <row r="57" spans="2:19">
      <c r="B57" s="1"/>
      <c r="C57" s="22" t="s">
        <v>27</v>
      </c>
      <c r="D57" s="2"/>
      <c r="E57" s="1"/>
      <c r="F57" s="92">
        <f>+F55+F56</f>
        <v>94283133.637234077</v>
      </c>
      <c r="G57" s="92"/>
      <c r="H57" s="1"/>
      <c r="I57" s="3"/>
      <c r="J57" s="1"/>
      <c r="K57" s="4"/>
      <c r="L57" s="1"/>
      <c r="M57" s="1"/>
      <c r="N57" s="1"/>
      <c r="O57" s="1"/>
      <c r="P57" s="1"/>
      <c r="Q57" s="4"/>
      <c r="R57" s="4"/>
      <c r="S57" s="1"/>
    </row>
    <row r="58" spans="2:19">
      <c r="B58" s="1"/>
      <c r="C58" s="11" t="str">
        <f>S121</f>
        <v xml:space="preserve">   Less: Depreciation  (True-Up TCOS, ln 82)</v>
      </c>
      <c r="D58" s="2"/>
      <c r="E58" s="1"/>
      <c r="F58" s="93">
        <f>R121</f>
        <v>17165640.823174316</v>
      </c>
      <c r="G58" s="93"/>
      <c r="H58" s="1"/>
      <c r="I58" s="3"/>
      <c r="J58" s="1"/>
      <c r="K58" s="4"/>
      <c r="L58" s="1"/>
      <c r="M58" s="1"/>
      <c r="N58" s="1"/>
      <c r="O58" s="1"/>
      <c r="P58" s="1"/>
      <c r="Q58" s="4"/>
      <c r="R58" s="4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77117492.814059764</v>
      </c>
      <c r="G59" s="63"/>
      <c r="H59" s="1"/>
      <c r="I59" s="3"/>
      <c r="J59" s="1"/>
      <c r="K59" s="4"/>
      <c r="L59" s="1"/>
      <c r="M59" s="1"/>
      <c r="N59" s="1"/>
      <c r="O59" s="1"/>
      <c r="P59" s="1"/>
      <c r="Q59" s="4"/>
      <c r="R59" s="4"/>
      <c r="S59" s="1"/>
    </row>
    <row r="60" spans="2:19">
      <c r="B60" s="1"/>
      <c r="C60" s="1"/>
      <c r="D60" s="2"/>
      <c r="E60" s="1"/>
      <c r="F60" s="1"/>
      <c r="G60" s="1"/>
      <c r="H60" s="1"/>
      <c r="I60" s="3"/>
      <c r="J60" s="1"/>
      <c r="K60" s="4"/>
      <c r="L60" s="1"/>
      <c r="M60" s="1"/>
      <c r="N60" s="1"/>
      <c r="O60" s="1"/>
      <c r="P60" s="1"/>
      <c r="Q60" s="4"/>
      <c r="R60" s="4"/>
      <c r="S60" s="1"/>
    </row>
    <row r="61" spans="2:19" ht="15.75">
      <c r="B61" s="1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96"/>
      <c r="H61" s="18"/>
      <c r="I61" s="3"/>
      <c r="J61" s="1"/>
      <c r="K61" s="4"/>
      <c r="L61" s="1"/>
      <c r="M61" s="1"/>
      <c r="N61" s="1"/>
      <c r="O61" s="1"/>
      <c r="P61" s="1"/>
      <c r="Q61" s="4"/>
      <c r="R61" s="4"/>
      <c r="S61" s="1"/>
    </row>
    <row r="62" spans="2:19">
      <c r="B62" s="1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94283133.637234077</v>
      </c>
      <c r="G62" s="96"/>
      <c r="H62" s="18"/>
      <c r="I62" s="3"/>
      <c r="J62" s="1"/>
      <c r="K62" s="4"/>
      <c r="L62" s="1"/>
      <c r="M62" s="1"/>
      <c r="N62" s="1"/>
      <c r="O62" s="1"/>
      <c r="P62" s="1"/>
      <c r="Q62" s="4"/>
      <c r="R62" s="4"/>
      <c r="S62" s="1"/>
    </row>
    <row r="63" spans="2:19">
      <c r="B63" s="1"/>
      <c r="C63" s="64" t="s">
        <v>28</v>
      </c>
      <c r="D63" s="95"/>
      <c r="E63" s="95"/>
      <c r="F63" s="96"/>
      <c r="G63" s="96"/>
      <c r="H63" s="18"/>
      <c r="I63" s="3"/>
      <c r="J63" s="1"/>
      <c r="K63" s="4"/>
      <c r="L63" s="1"/>
      <c r="M63" s="1"/>
      <c r="N63" s="1"/>
      <c r="O63" s="1"/>
      <c r="P63" s="1"/>
      <c r="Q63" s="4"/>
      <c r="R63" s="4"/>
      <c r="S63" s="1"/>
    </row>
    <row r="64" spans="2:19">
      <c r="B64" s="1"/>
      <c r="C64" s="22" t="s">
        <v>281</v>
      </c>
      <c r="D64" s="62"/>
      <c r="E64" s="18"/>
      <c r="F64" s="98">
        <f>+R122</f>
        <v>0</v>
      </c>
      <c r="G64" s="146"/>
      <c r="H64" s="18"/>
      <c r="I64" s="3"/>
      <c r="J64" s="1"/>
      <c r="K64" s="4"/>
      <c r="L64" s="1"/>
      <c r="M64" s="1"/>
      <c r="N64" s="1"/>
      <c r="O64" s="1"/>
      <c r="P64" s="1"/>
      <c r="Q64" s="4"/>
      <c r="R64" s="4"/>
      <c r="S64" s="1"/>
    </row>
    <row r="65" spans="2:19">
      <c r="B65" s="1"/>
      <c r="C65" s="22" t="s">
        <v>282</v>
      </c>
      <c r="D65" s="62"/>
      <c r="E65" s="18"/>
      <c r="F65" s="96">
        <f>+F62*F64</f>
        <v>0</v>
      </c>
      <c r="G65" s="96"/>
      <c r="H65" s="18"/>
      <c r="I65" s="3"/>
      <c r="J65" s="1"/>
      <c r="K65" s="4"/>
      <c r="L65" s="1"/>
      <c r="M65" s="1"/>
      <c r="N65" s="1"/>
      <c r="O65" s="1"/>
      <c r="P65" s="1"/>
      <c r="Q65" s="4"/>
      <c r="R65" s="4"/>
      <c r="S65" s="1"/>
    </row>
    <row r="66" spans="2:19">
      <c r="B66" s="1"/>
      <c r="C66" s="22" t="s">
        <v>283</v>
      </c>
      <c r="D66" s="62"/>
      <c r="E66" s="18"/>
      <c r="F66" s="99">
        <v>0.22</v>
      </c>
      <c r="G66" s="196"/>
      <c r="H66" s="18"/>
      <c r="I66" s="3"/>
      <c r="J66" s="1"/>
      <c r="K66" s="4"/>
      <c r="L66" s="1"/>
      <c r="M66" s="1"/>
      <c r="N66" s="1"/>
      <c r="O66" s="1"/>
      <c r="P66" s="1"/>
      <c r="Q66" s="4"/>
      <c r="R66" s="4"/>
      <c r="S66" s="1"/>
    </row>
    <row r="67" spans="2:19">
      <c r="B67" s="1"/>
      <c r="C67" s="22" t="s">
        <v>284</v>
      </c>
      <c r="D67" s="62"/>
      <c r="E67" s="18"/>
      <c r="F67" s="96">
        <f>+F65*F66</f>
        <v>0</v>
      </c>
      <c r="G67" s="96"/>
      <c r="H67" s="18"/>
      <c r="I67" s="3"/>
      <c r="J67" s="1"/>
      <c r="K67" s="4"/>
      <c r="L67" s="1"/>
      <c r="M67" s="1"/>
      <c r="N67" s="1"/>
      <c r="O67" s="1"/>
      <c r="P67" s="1"/>
      <c r="Q67" s="4"/>
      <c r="R67" s="4"/>
      <c r="S67" s="1"/>
    </row>
    <row r="68" spans="2:19">
      <c r="B68" s="1"/>
      <c r="C68" s="22" t="s">
        <v>285</v>
      </c>
      <c r="D68" s="62"/>
      <c r="E68" s="18"/>
      <c r="F68" s="99">
        <v>0.01</v>
      </c>
      <c r="G68" s="196"/>
      <c r="H68" s="18"/>
      <c r="I68" s="3"/>
      <c r="J68" s="1"/>
      <c r="K68" s="4"/>
      <c r="L68" s="1"/>
      <c r="M68" s="1"/>
      <c r="N68" s="1"/>
      <c r="O68" s="1"/>
      <c r="P68" s="1"/>
      <c r="Q68" s="4"/>
      <c r="R68" s="4"/>
      <c r="S68" s="1"/>
    </row>
    <row r="69" spans="2:19">
      <c r="B69" s="1"/>
      <c r="C69" s="22" t="s">
        <v>286</v>
      </c>
      <c r="D69" s="62"/>
      <c r="E69" s="18"/>
      <c r="F69" s="96">
        <f>+F67*F68</f>
        <v>0</v>
      </c>
      <c r="G69" s="96"/>
      <c r="H69" s="18"/>
      <c r="I69" s="3"/>
      <c r="J69" s="1"/>
      <c r="K69" s="4"/>
      <c r="L69" s="1"/>
      <c r="M69" s="1"/>
      <c r="N69" s="1"/>
      <c r="O69" s="1"/>
      <c r="P69" s="1"/>
      <c r="Q69" s="4"/>
      <c r="R69" s="4"/>
      <c r="S69" s="1"/>
    </row>
    <row r="70" spans="2:19">
      <c r="B70" s="1"/>
      <c r="C70" s="22" t="s">
        <v>287</v>
      </c>
      <c r="D70" s="62"/>
      <c r="E70" s="18"/>
      <c r="F70" s="100">
        <f>+ROUND((F69*F66*F64)/(1-F68)*F68,0)</f>
        <v>0</v>
      </c>
      <c r="G70" s="197"/>
      <c r="H70" s="18"/>
      <c r="I70" s="3"/>
      <c r="J70" s="1"/>
      <c r="K70" s="4"/>
      <c r="L70" s="1"/>
      <c r="M70" s="1"/>
      <c r="N70" s="1"/>
      <c r="O70" s="1"/>
      <c r="P70" s="1"/>
      <c r="Q70" s="4"/>
      <c r="R70" s="4"/>
      <c r="S70" s="1"/>
    </row>
    <row r="71" spans="2:19">
      <c r="B71" s="1"/>
      <c r="C71" s="22" t="s">
        <v>29</v>
      </c>
      <c r="D71" s="62"/>
      <c r="E71" s="18"/>
      <c r="F71" s="96">
        <f>+F69+F70</f>
        <v>0</v>
      </c>
      <c r="G71" s="96"/>
      <c r="H71" s="18"/>
      <c r="I71" s="3"/>
      <c r="J71" s="1"/>
      <c r="K71" s="4"/>
      <c r="L71" s="1"/>
      <c r="M71" s="1"/>
      <c r="N71" s="1"/>
      <c r="O71" s="1"/>
      <c r="P71" s="1"/>
      <c r="Q71" s="4"/>
      <c r="R71" s="4"/>
      <c r="S71" s="1"/>
    </row>
    <row r="72" spans="2:19">
      <c r="B72" s="1"/>
      <c r="C72" s="1"/>
      <c r="D72" s="2"/>
      <c r="E72" s="1"/>
      <c r="F72" s="1"/>
      <c r="G72" s="1"/>
      <c r="H72" s="1"/>
      <c r="I72" s="3"/>
      <c r="J72" s="1"/>
      <c r="K72" s="4"/>
      <c r="L72" s="1"/>
      <c r="M72" s="1"/>
      <c r="N72" s="1"/>
      <c r="O72" s="1"/>
      <c r="P72" s="1"/>
      <c r="Q72" s="4"/>
      <c r="R72" s="4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1"/>
      <c r="I73" s="10"/>
      <c r="J73" s="1"/>
      <c r="K73" s="4"/>
      <c r="L73" s="1"/>
      <c r="M73" s="1"/>
      <c r="N73" s="1"/>
      <c r="O73" s="1"/>
      <c r="P73" s="1"/>
      <c r="Q73" s="4"/>
      <c r="R73" s="4"/>
      <c r="S73" s="1"/>
    </row>
    <row r="74" spans="2:19">
      <c r="B74" s="1"/>
      <c r="C74" s="1"/>
      <c r="D74" s="2"/>
      <c r="E74" s="1"/>
      <c r="F74" s="1"/>
      <c r="G74" s="1"/>
      <c r="H74" s="1"/>
      <c r="I74" s="3"/>
      <c r="J74" s="1"/>
      <c r="K74" s="4"/>
      <c r="L74" s="1"/>
      <c r="M74" s="1"/>
      <c r="N74" s="1"/>
      <c r="O74" s="1"/>
      <c r="P74" s="1"/>
      <c r="Q74" s="4"/>
      <c r="R74" s="4"/>
      <c r="S74" s="1"/>
    </row>
    <row r="75" spans="2:19">
      <c r="B75" s="1"/>
      <c r="C75" s="73" t="str">
        <f>S123</f>
        <v xml:space="preserve">   Net Transmission Plant  (True-Up TCOS, ln 39)</v>
      </c>
      <c r="D75" s="2"/>
      <c r="E75" s="1"/>
      <c r="F75" s="63">
        <f>R123</f>
        <v>607930310.73895669</v>
      </c>
      <c r="G75" s="63"/>
      <c r="I75" s="10"/>
      <c r="J75" s="1"/>
      <c r="K75" s="4"/>
      <c r="L75" s="1"/>
      <c r="M75" s="1"/>
      <c r="N75" s="1"/>
      <c r="O75" s="1"/>
      <c r="P75" s="1"/>
      <c r="Q75" s="4"/>
      <c r="R75" s="4"/>
      <c r="S75" s="1"/>
    </row>
    <row r="76" spans="2:19" ht="15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98">
        <f>+F57</f>
        <v>94283133.637234077</v>
      </c>
      <c r="G76" s="198"/>
      <c r="I76" s="10"/>
      <c r="J76" s="1"/>
      <c r="K76" s="4"/>
      <c r="L76" s="1"/>
      <c r="M76" s="1"/>
      <c r="N76" s="1"/>
      <c r="O76" s="1"/>
      <c r="P76" s="1"/>
      <c r="Q76" s="4"/>
      <c r="R76" s="4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0.15508871982814976</v>
      </c>
      <c r="G77" s="103"/>
      <c r="I77" s="10"/>
      <c r="J77" s="1"/>
      <c r="K77" s="4"/>
      <c r="L77" s="1"/>
      <c r="M77" s="1"/>
      <c r="N77" s="1"/>
      <c r="O77" s="1"/>
      <c r="P77" s="1"/>
      <c r="Q77" s="4"/>
      <c r="R77" s="4"/>
      <c r="S77" s="1"/>
    </row>
    <row r="78" spans="2:19">
      <c r="B78" s="1"/>
      <c r="D78" s="2"/>
      <c r="E78" s="1"/>
      <c r="F78" s="18"/>
      <c r="G78" s="18"/>
      <c r="H78" s="199"/>
      <c r="I78" s="10"/>
      <c r="J78" s="1"/>
      <c r="K78" s="4"/>
      <c r="L78" s="1"/>
      <c r="M78" s="1"/>
      <c r="N78" s="1"/>
      <c r="O78" s="1"/>
      <c r="P78" s="1"/>
      <c r="Q78" s="4"/>
      <c r="R78" s="4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+F59</f>
        <v>77117492.814059764</v>
      </c>
      <c r="G79" s="63"/>
      <c r="I79" s="10"/>
      <c r="J79" s="1"/>
      <c r="K79" s="4"/>
      <c r="L79" s="1"/>
      <c r="M79" s="1"/>
      <c r="N79" s="1"/>
      <c r="O79" s="1"/>
      <c r="P79" s="1"/>
      <c r="Q79" s="4"/>
      <c r="R79" s="4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0.12685252150089579</v>
      </c>
      <c r="G80" s="103"/>
      <c r="H80" s="101"/>
      <c r="I80" s="10"/>
      <c r="J80" s="1"/>
      <c r="K80" s="4"/>
      <c r="L80" s="1"/>
      <c r="M80" s="1"/>
      <c r="N80" s="1"/>
      <c r="O80" s="1"/>
      <c r="P80" s="1"/>
      <c r="Q80" s="4"/>
      <c r="R80" s="4"/>
      <c r="S80" s="1"/>
    </row>
    <row r="81" spans="2:19">
      <c r="B81" s="1"/>
      <c r="C81" s="73" t="str">
        <f>S124</f>
        <v xml:space="preserve">   FCR less Depreciation  (True-Up TCOS, ln 12)</v>
      </c>
      <c r="D81" s="2"/>
      <c r="E81" s="1"/>
      <c r="F81" s="104">
        <f>R124</f>
        <v>0.12685252150089582</v>
      </c>
      <c r="G81" s="104"/>
      <c r="H81" s="200"/>
      <c r="I81" s="10"/>
      <c r="J81" s="1"/>
      <c r="K81" s="4"/>
      <c r="L81" s="1"/>
      <c r="M81" s="1"/>
      <c r="N81" s="1"/>
      <c r="O81" s="1"/>
      <c r="P81" s="1"/>
      <c r="Q81" s="4"/>
      <c r="R81" s="4"/>
      <c r="S81" s="1"/>
    </row>
    <row r="82" spans="2:19">
      <c r="B82" s="1"/>
      <c r="C82" s="22" t="str">
        <f>"   Incremental FCR with "&amp;F13&amp;" Basis Point ROE increase, less Depreciation"</f>
        <v xml:space="preserve">   Incremental FCR with 0 Basis Point ROE increase, less Depreciation</v>
      </c>
      <c r="D82" s="2"/>
      <c r="E82" s="1"/>
      <c r="F82" s="103">
        <f>F80-F81</f>
        <v>0</v>
      </c>
      <c r="G82" s="103"/>
      <c r="I82" s="10"/>
      <c r="J82" s="1"/>
      <c r="K82" s="4"/>
      <c r="L82" s="1"/>
      <c r="M82" s="1"/>
      <c r="N82" s="1"/>
      <c r="O82" s="1"/>
      <c r="P82" s="1"/>
      <c r="Q82" s="4"/>
      <c r="R82" s="4"/>
      <c r="S82" s="1"/>
    </row>
    <row r="83" spans="2:19">
      <c r="B83" s="1"/>
      <c r="C83" s="22"/>
      <c r="D83" s="2"/>
      <c r="E83" s="1"/>
      <c r="F83" s="103"/>
      <c r="G83" s="103"/>
      <c r="H83" s="1"/>
      <c r="I83" s="3"/>
      <c r="J83" s="1"/>
      <c r="K83" s="4"/>
      <c r="L83" s="1"/>
      <c r="M83" s="1"/>
      <c r="N83" s="1"/>
      <c r="O83" s="1"/>
      <c r="P83" s="1"/>
      <c r="Q83" s="4"/>
      <c r="R83" s="4"/>
      <c r="S83" s="1"/>
    </row>
    <row r="84" spans="2:19" ht="18.75">
      <c r="B84" s="5" t="s">
        <v>30</v>
      </c>
      <c r="C84" s="71" t="s">
        <v>31</v>
      </c>
      <c r="D84" s="2"/>
      <c r="E84" s="1"/>
      <c r="F84" s="103"/>
      <c r="G84" s="103"/>
      <c r="H84" s="1"/>
      <c r="I84" s="3"/>
      <c r="J84" s="1"/>
      <c r="K84" s="4"/>
      <c r="L84" s="1"/>
      <c r="M84" s="1"/>
      <c r="N84" s="1"/>
      <c r="O84" s="1"/>
      <c r="P84" s="1"/>
      <c r="Q84" s="4"/>
      <c r="R84" s="4"/>
      <c r="S84" s="1"/>
    </row>
    <row r="85" spans="2:19" ht="12.75" customHeight="1">
      <c r="B85" s="5"/>
      <c r="C85" s="71"/>
      <c r="D85" s="2"/>
      <c r="E85" s="1"/>
      <c r="F85" s="103"/>
      <c r="G85" s="103"/>
      <c r="H85" s="1"/>
      <c r="I85" s="3"/>
      <c r="J85" s="1"/>
      <c r="K85" s="4"/>
      <c r="L85" s="1"/>
      <c r="M85" s="1"/>
      <c r="N85" s="1"/>
      <c r="O85" s="1"/>
      <c r="P85" s="1"/>
      <c r="Q85" s="4"/>
      <c r="R85" s="4"/>
      <c r="S85" s="1"/>
    </row>
    <row r="86" spans="2:19" ht="12.75" customHeight="1">
      <c r="B86" s="5"/>
      <c r="C86" s="22" t="s">
        <v>32</v>
      </c>
      <c r="D86" s="2"/>
      <c r="F86" s="97">
        <f>R125</f>
        <v>832778192</v>
      </c>
      <c r="G86" s="1" t="s">
        <v>276</v>
      </c>
      <c r="I86" s="3"/>
      <c r="J86" s="1"/>
      <c r="K86" s="4"/>
      <c r="L86" s="1"/>
      <c r="M86" s="1"/>
      <c r="N86" s="1"/>
      <c r="O86" s="1"/>
      <c r="P86" s="1"/>
      <c r="Q86" s="4"/>
      <c r="R86" s="4"/>
      <c r="S86" s="1"/>
    </row>
    <row r="87" spans="2:19" ht="12.75" customHeight="1">
      <c r="B87" s="5"/>
      <c r="C87" s="22" t="s">
        <v>33</v>
      </c>
      <c r="D87" s="2"/>
      <c r="F87" s="106">
        <f>R126</f>
        <v>858822495</v>
      </c>
      <c r="G87" s="1" t="s">
        <v>276</v>
      </c>
      <c r="I87" s="3"/>
      <c r="J87" s="1"/>
      <c r="K87" s="4"/>
      <c r="L87" s="1"/>
      <c r="M87" s="1"/>
      <c r="N87" s="1"/>
      <c r="O87" s="1"/>
      <c r="P87" s="1"/>
      <c r="Q87" s="4"/>
      <c r="R87" s="4"/>
      <c r="S87" s="1"/>
    </row>
    <row r="88" spans="2:19" ht="12.75" customHeight="1">
      <c r="B88" s="5"/>
      <c r="C88" s="22"/>
      <c r="D88" s="2"/>
      <c r="F88" s="3">
        <f>+F87+F86</f>
        <v>1691600687</v>
      </c>
      <c r="G88" s="3"/>
      <c r="H88" s="1"/>
      <c r="I88" s="3"/>
      <c r="J88" s="1"/>
      <c r="K88" s="4"/>
      <c r="L88" s="1"/>
      <c r="M88" s="1"/>
      <c r="N88" s="1"/>
      <c r="O88" s="1"/>
      <c r="P88" s="1"/>
      <c r="Q88" s="4"/>
      <c r="R88" s="4"/>
      <c r="S88" s="1"/>
    </row>
    <row r="89" spans="2:19">
      <c r="B89" s="1"/>
      <c r="C89" s="22" t="str">
        <f>+S127</f>
        <v xml:space="preserve">Transmission Plant Average Balance for 2017 </v>
      </c>
      <c r="D89" s="62"/>
      <c r="E89" s="107"/>
      <c r="F89" s="88">
        <f>+F88/2</f>
        <v>845800343.5</v>
      </c>
      <c r="G89" s="88"/>
      <c r="I89" s="3"/>
      <c r="J89" s="1"/>
      <c r="K89" s="4"/>
      <c r="L89" s="1"/>
      <c r="M89" s="1"/>
      <c r="N89" s="1"/>
      <c r="O89" s="1"/>
      <c r="P89" s="1"/>
      <c r="Q89" s="4"/>
      <c r="R89" s="4"/>
      <c r="S89" s="1"/>
    </row>
    <row r="90" spans="2:19">
      <c r="B90" s="1"/>
      <c r="C90" s="11" t="str">
        <f>S128</f>
        <v>Annual Depreciation Expense  (True-Up TCOS, ln 82)</v>
      </c>
      <c r="D90" s="62"/>
      <c r="E90" s="18"/>
      <c r="F90" s="88">
        <f>R128</f>
        <v>18413996</v>
      </c>
      <c r="G90" s="88"/>
      <c r="I90" s="3"/>
      <c r="J90" s="1"/>
      <c r="K90" s="4"/>
      <c r="L90" s="1"/>
      <c r="M90" s="1"/>
      <c r="N90" s="1"/>
      <c r="O90" s="1"/>
      <c r="P90" s="1"/>
      <c r="Q90" s="4"/>
      <c r="R90" s="4"/>
      <c r="S90" s="1"/>
    </row>
    <row r="91" spans="2:19">
      <c r="B91" s="1"/>
      <c r="C91" s="22" t="s">
        <v>34</v>
      </c>
      <c r="D91" s="2"/>
      <c r="E91" s="1"/>
      <c r="F91" s="103">
        <f>IF(F89=0,0,F90/F89)</f>
        <v>2.1771090708950509E-2</v>
      </c>
      <c r="G91" s="103"/>
      <c r="H91" s="1"/>
      <c r="I91" s="109"/>
      <c r="J91" s="1"/>
      <c r="K91" s="4"/>
      <c r="L91" s="1"/>
      <c r="M91" s="1"/>
      <c r="N91" s="1"/>
      <c r="O91" s="1"/>
      <c r="P91" s="1"/>
      <c r="Q91" s="4"/>
      <c r="R91" s="4"/>
      <c r="S91" s="1"/>
    </row>
    <row r="92" spans="2:19">
      <c r="B92" s="1"/>
      <c r="C92" s="22" t="s">
        <v>35</v>
      </c>
      <c r="D92" s="2"/>
      <c r="E92" s="1"/>
      <c r="F92" s="110">
        <f>IF(F91=0,0,1/F91)</f>
        <v>45.932471338649144</v>
      </c>
      <c r="G92" s="110"/>
      <c r="H92" s="1"/>
      <c r="I92" s="3"/>
      <c r="J92" s="1"/>
      <c r="K92" s="4"/>
      <c r="L92" s="1"/>
      <c r="M92" s="1"/>
      <c r="N92" s="1"/>
      <c r="O92" s="1"/>
      <c r="P92" s="1"/>
      <c r="Q92" s="4"/>
      <c r="R92" s="4"/>
      <c r="S92" s="1"/>
    </row>
    <row r="93" spans="2:19">
      <c r="B93" s="1"/>
      <c r="C93" s="22" t="s">
        <v>36</v>
      </c>
      <c r="D93" s="2"/>
      <c r="E93" s="1"/>
      <c r="F93" s="111">
        <f>ROUND(F92,0)</f>
        <v>46</v>
      </c>
      <c r="G93" s="111"/>
      <c r="H93" s="1"/>
      <c r="I93" s="3"/>
      <c r="J93" s="1"/>
      <c r="K93" s="4"/>
      <c r="L93" s="1"/>
      <c r="M93" s="1"/>
      <c r="N93" s="1"/>
      <c r="O93" s="1"/>
      <c r="P93" s="1"/>
      <c r="Q93" s="4"/>
      <c r="R93" s="4"/>
      <c r="S93" s="1"/>
    </row>
    <row r="94" spans="2:19">
      <c r="B94" s="1"/>
      <c r="C94" s="22"/>
      <c r="D94" s="2"/>
      <c r="E94" s="1"/>
      <c r="F94" s="111"/>
      <c r="G94" s="111"/>
      <c r="H94" s="1"/>
      <c r="I94" s="3"/>
      <c r="J94" s="1"/>
      <c r="K94" s="4"/>
      <c r="L94" s="1"/>
      <c r="M94" s="1"/>
      <c r="N94" s="1"/>
      <c r="O94" s="1"/>
      <c r="P94" s="1"/>
      <c r="Q94" s="4"/>
      <c r="R94" s="4"/>
      <c r="S94" s="1"/>
    </row>
    <row r="95" spans="2:19">
      <c r="B95" s="1"/>
      <c r="C95" s="22"/>
      <c r="D95" s="2"/>
      <c r="E95" s="1"/>
      <c r="F95" s="111"/>
      <c r="G95" s="111"/>
      <c r="H95" s="1"/>
      <c r="I95" s="3"/>
      <c r="J95" s="1"/>
      <c r="K95" s="4"/>
      <c r="L95" s="1"/>
      <c r="M95" s="1"/>
      <c r="N95" s="1"/>
      <c r="O95" s="1"/>
      <c r="P95" s="1"/>
      <c r="Q95" s="4"/>
      <c r="R95" s="4"/>
      <c r="S95" s="1"/>
    </row>
    <row r="96" spans="2:19">
      <c r="B96" s="1"/>
      <c r="C96" s="22"/>
      <c r="D96" s="2"/>
      <c r="E96" s="1"/>
      <c r="F96" s="111"/>
      <c r="G96" s="111"/>
      <c r="H96" s="1"/>
      <c r="I96" s="3"/>
      <c r="J96" s="1"/>
      <c r="K96" s="4"/>
      <c r="L96" s="1"/>
      <c r="M96" s="1"/>
      <c r="N96" s="1"/>
      <c r="O96" s="1"/>
      <c r="P96" s="1"/>
      <c r="Q96" s="4"/>
      <c r="R96" s="4"/>
      <c r="S96" s="1"/>
    </row>
    <row r="97" spans="3:19">
      <c r="C97" s="1"/>
      <c r="D97" s="2"/>
      <c r="E97" s="1"/>
      <c r="F97" s="1"/>
      <c r="G97" s="1"/>
      <c r="H97" s="1"/>
      <c r="I97" s="3"/>
      <c r="J97" s="1"/>
      <c r="K97" s="4"/>
      <c r="L97" s="1"/>
      <c r="M97" s="1"/>
      <c r="N97" s="1"/>
      <c r="O97" s="1"/>
      <c r="P97" s="1"/>
      <c r="Q97" s="4"/>
      <c r="R97" s="233" t="s">
        <v>121</v>
      </c>
      <c r="S97" s="232" t="s">
        <v>127</v>
      </c>
    </row>
    <row r="98" spans="3:19">
      <c r="C98" s="1"/>
      <c r="D98" s="2"/>
      <c r="E98" s="1"/>
      <c r="F98" s="1"/>
      <c r="G98" s="1"/>
      <c r="H98" s="1"/>
      <c r="I98" s="3"/>
      <c r="J98" s="1"/>
      <c r="K98" s="4"/>
      <c r="L98" s="1"/>
      <c r="M98" s="1"/>
      <c r="N98" s="1"/>
      <c r="O98" s="1"/>
      <c r="P98" s="1"/>
      <c r="Q98" s="4"/>
    </row>
    <row r="99" spans="3:19">
      <c r="C99" s="240" t="s">
        <v>117</v>
      </c>
      <c r="J99" s="7"/>
      <c r="L99" s="240" t="s">
        <v>116</v>
      </c>
      <c r="N99" s="1"/>
      <c r="O99" s="1"/>
      <c r="P99" s="1"/>
      <c r="Q99" s="4"/>
    </row>
    <row r="100" spans="3:19">
      <c r="C100" s="1"/>
      <c r="D100" s="2"/>
      <c r="E100" s="1"/>
      <c r="F100" s="1"/>
      <c r="G100" s="1"/>
      <c r="H100" s="1"/>
      <c r="I100" s="3"/>
      <c r="J100" s="1"/>
      <c r="K100" s="4"/>
      <c r="L100" s="1"/>
      <c r="M100" s="1"/>
      <c r="N100" s="1"/>
      <c r="O100" s="1"/>
      <c r="P100" s="1"/>
      <c r="Q100" s="4"/>
      <c r="S100" s="232" t="s">
        <v>114</v>
      </c>
    </row>
    <row r="101" spans="3:19">
      <c r="C101" s="1"/>
      <c r="D101" s="2"/>
      <c r="E101" s="1"/>
      <c r="F101" s="1"/>
      <c r="G101" s="1"/>
      <c r="H101" s="1"/>
      <c r="I101" s="3"/>
      <c r="J101" s="1"/>
      <c r="K101" s="4"/>
      <c r="L101" s="1"/>
      <c r="M101" s="1"/>
      <c r="N101" s="1"/>
      <c r="O101" s="1"/>
      <c r="P101" s="1"/>
      <c r="Q101" s="4"/>
      <c r="R101" s="233" t="s">
        <v>110</v>
      </c>
      <c r="S101" s="236" t="s">
        <v>130</v>
      </c>
    </row>
    <row r="102" spans="3:19" ht="13.5" thickBot="1">
      <c r="C102" s="1"/>
      <c r="D102" s="2"/>
      <c r="E102" s="1"/>
      <c r="F102" s="1"/>
      <c r="G102" s="1"/>
      <c r="H102" s="1"/>
      <c r="I102" s="3"/>
      <c r="J102" s="1"/>
      <c r="K102" s="4"/>
      <c r="L102" s="1"/>
      <c r="M102" s="1"/>
      <c r="N102" s="1"/>
      <c r="O102" s="1"/>
      <c r="P102" s="1"/>
      <c r="Q102" s="4"/>
      <c r="R102" s="235" t="s">
        <v>217</v>
      </c>
    </row>
    <row r="103" spans="3:19">
      <c r="C103" s="1"/>
      <c r="D103" s="2"/>
      <c r="E103" s="1"/>
      <c r="F103" s="1"/>
      <c r="G103" s="1"/>
      <c r="H103" s="1"/>
      <c r="I103" s="3"/>
      <c r="J103" s="1"/>
      <c r="K103" s="4"/>
      <c r="L103" s="1"/>
      <c r="M103" s="1"/>
      <c r="N103" s="1"/>
      <c r="O103" s="1"/>
      <c r="P103" s="1"/>
      <c r="Q103" s="4"/>
      <c r="R103" s="403" t="s">
        <v>204</v>
      </c>
      <c r="S103" s="243" t="s">
        <v>138</v>
      </c>
    </row>
    <row r="104" spans="3:19">
      <c r="C104" s="1"/>
      <c r="D104" s="2"/>
      <c r="E104" s="1"/>
      <c r="F104" s="1"/>
      <c r="G104" s="1"/>
      <c r="H104" s="1"/>
      <c r="I104" s="3"/>
      <c r="J104" s="1"/>
      <c r="K104" s="4"/>
      <c r="L104" s="1"/>
      <c r="M104" s="1"/>
      <c r="N104" s="1"/>
      <c r="O104" s="1"/>
      <c r="P104" s="1"/>
      <c r="Q104" s="4"/>
      <c r="R104" s="404">
        <v>2017</v>
      </c>
      <c r="S104" s="39" t="s">
        <v>89</v>
      </c>
    </row>
    <row r="105" spans="3:19">
      <c r="C105" s="1"/>
      <c r="D105" s="2"/>
      <c r="E105" s="1"/>
      <c r="F105" s="1"/>
      <c r="G105" s="1"/>
      <c r="H105" s="1"/>
      <c r="I105" s="3"/>
      <c r="J105" s="1"/>
      <c r="K105" s="4"/>
      <c r="L105" s="1"/>
      <c r="M105" s="1"/>
      <c r="N105" s="1"/>
      <c r="O105" s="1"/>
      <c r="P105" s="1"/>
      <c r="Q105" s="4"/>
      <c r="R105" s="390">
        <v>0.112</v>
      </c>
      <c r="S105" s="389" t="s">
        <v>347</v>
      </c>
    </row>
    <row r="106" spans="3:19">
      <c r="C106" s="1"/>
      <c r="D106" s="2"/>
      <c r="E106" s="1"/>
      <c r="F106" s="1"/>
      <c r="G106" s="1"/>
      <c r="H106" s="1"/>
      <c r="I106" s="3"/>
      <c r="J106" s="1"/>
      <c r="K106" s="4"/>
      <c r="L106" s="1"/>
      <c r="M106" s="1"/>
      <c r="N106" s="1"/>
      <c r="O106" s="1"/>
      <c r="P106" s="1"/>
      <c r="Q106" s="4"/>
      <c r="R106" s="489">
        <v>0</v>
      </c>
      <c r="S106" s="389" t="s">
        <v>1</v>
      </c>
    </row>
    <row r="107" spans="3:19">
      <c r="C107" s="1"/>
      <c r="D107" s="2"/>
      <c r="E107" s="1"/>
      <c r="F107" s="1"/>
      <c r="G107" s="1"/>
      <c r="H107" s="1"/>
      <c r="I107" s="3"/>
      <c r="J107" s="1"/>
      <c r="K107" s="4"/>
      <c r="L107" s="1"/>
      <c r="M107" s="1"/>
      <c r="N107" s="1"/>
      <c r="O107" s="1"/>
      <c r="P107" s="1"/>
      <c r="Q107" s="4"/>
      <c r="R107" s="390">
        <v>0.51618961502275151</v>
      </c>
      <c r="S107" s="391" t="s">
        <v>104</v>
      </c>
    </row>
    <row r="108" spans="3:19">
      <c r="C108" s="1"/>
      <c r="D108" s="2"/>
      <c r="E108" s="1"/>
      <c r="F108" s="1"/>
      <c r="G108" s="1"/>
      <c r="H108" s="1"/>
      <c r="I108" s="3"/>
      <c r="J108" s="1"/>
      <c r="K108" s="4"/>
      <c r="L108" s="1"/>
      <c r="M108" s="1"/>
      <c r="N108" s="1"/>
      <c r="O108" s="1"/>
      <c r="P108" s="1"/>
      <c r="Q108" s="4"/>
      <c r="R108" s="392">
        <v>4.5871001067944304E-2</v>
      </c>
      <c r="S108" s="391" t="s">
        <v>105</v>
      </c>
    </row>
    <row r="109" spans="3:19">
      <c r="C109" s="1"/>
      <c r="D109" s="2"/>
      <c r="E109" s="1"/>
      <c r="F109" s="1"/>
      <c r="G109" s="1"/>
      <c r="H109" s="1"/>
      <c r="I109" s="3"/>
      <c r="J109" s="1"/>
      <c r="K109" s="4"/>
      <c r="L109" s="1"/>
      <c r="M109" s="1"/>
      <c r="N109" s="1"/>
      <c r="O109" s="1"/>
      <c r="P109" s="1"/>
      <c r="Q109" s="4"/>
      <c r="R109" s="390">
        <v>0</v>
      </c>
      <c r="S109" s="391" t="s">
        <v>106</v>
      </c>
    </row>
    <row r="110" spans="3:19">
      <c r="C110" s="1"/>
      <c r="D110" s="2"/>
      <c r="E110" s="1"/>
      <c r="F110" s="1"/>
      <c r="G110" s="1"/>
      <c r="H110" s="1"/>
      <c r="I110" s="3"/>
      <c r="J110" s="1"/>
      <c r="K110" s="4"/>
      <c r="L110" s="1"/>
      <c r="M110" s="1"/>
      <c r="N110" s="1"/>
      <c r="O110" s="1"/>
      <c r="P110" s="1"/>
      <c r="Q110" s="4"/>
      <c r="R110" s="392">
        <v>0</v>
      </c>
      <c r="S110" s="391" t="s">
        <v>107</v>
      </c>
    </row>
    <row r="111" spans="3:19">
      <c r="C111" s="1"/>
      <c r="D111" s="2"/>
      <c r="E111" s="1"/>
      <c r="F111" s="1"/>
      <c r="G111" s="1"/>
      <c r="H111" s="1"/>
      <c r="I111" s="3"/>
      <c r="J111" s="1"/>
      <c r="K111" s="4"/>
      <c r="L111" s="1"/>
      <c r="M111" s="1"/>
      <c r="N111" s="1"/>
      <c r="O111" s="1"/>
      <c r="P111" s="1"/>
      <c r="Q111" s="4"/>
      <c r="R111" s="390">
        <v>0.48381038497724849</v>
      </c>
      <c r="S111" s="393" t="s">
        <v>108</v>
      </c>
    </row>
    <row r="112" spans="3:19">
      <c r="C112" s="1"/>
      <c r="D112" s="2"/>
      <c r="E112" s="1"/>
      <c r="F112" s="1"/>
      <c r="G112" s="1"/>
      <c r="H112" s="1"/>
      <c r="I112" s="3"/>
      <c r="J112" s="1"/>
      <c r="K112" s="4"/>
      <c r="L112" s="1"/>
      <c r="M112" s="1"/>
      <c r="N112" s="1"/>
      <c r="O112" s="1"/>
      <c r="P112" s="1"/>
      <c r="Q112" s="4"/>
      <c r="R112" s="394">
        <v>454662284.99494523</v>
      </c>
      <c r="S112" s="395" t="s">
        <v>222</v>
      </c>
    </row>
    <row r="113" spans="3:19">
      <c r="C113" s="1"/>
      <c r="D113" s="2"/>
      <c r="E113" s="1"/>
      <c r="F113" s="1"/>
      <c r="G113" s="1"/>
      <c r="H113" s="1"/>
      <c r="I113" s="3"/>
      <c r="J113" s="1"/>
      <c r="K113" s="4"/>
      <c r="L113" s="1"/>
      <c r="M113" s="1"/>
      <c r="N113" s="1"/>
      <c r="O113" s="1"/>
      <c r="P113" s="1"/>
      <c r="Q113" s="4"/>
      <c r="R113" s="396">
        <v>0.38568499999999994</v>
      </c>
      <c r="S113" s="244" t="s">
        <v>348</v>
      </c>
    </row>
    <row r="114" spans="3:19">
      <c r="C114" s="1"/>
      <c r="D114" s="2"/>
      <c r="E114" s="1"/>
      <c r="F114" s="1"/>
      <c r="G114" s="1"/>
      <c r="H114" s="1"/>
      <c r="I114" s="3"/>
      <c r="J114" s="1"/>
      <c r="K114" s="4"/>
      <c r="L114" s="1"/>
      <c r="M114" s="1"/>
      <c r="N114" s="1"/>
      <c r="O114" s="1"/>
      <c r="P114" s="1"/>
      <c r="Q114" s="4"/>
      <c r="R114" s="394">
        <v>-487039.39732408116</v>
      </c>
      <c r="S114" s="244" t="s">
        <v>349</v>
      </c>
    </row>
    <row r="115" spans="3:19">
      <c r="C115" s="1"/>
      <c r="D115" s="2"/>
      <c r="E115" s="1"/>
      <c r="F115" s="1"/>
      <c r="G115" s="1"/>
      <c r="H115" s="1"/>
      <c r="I115" s="3"/>
      <c r="J115" s="1"/>
      <c r="K115" s="4"/>
      <c r="L115" s="1"/>
      <c r="M115" s="1"/>
      <c r="N115" s="1"/>
      <c r="O115" s="1"/>
      <c r="Q115" s="4"/>
      <c r="R115" s="394">
        <v>0</v>
      </c>
      <c r="S115" s="244" t="s">
        <v>274</v>
      </c>
    </row>
    <row r="116" spans="3:19">
      <c r="C116" s="1"/>
      <c r="D116" s="2"/>
      <c r="E116" s="1"/>
      <c r="F116" s="1"/>
      <c r="G116" s="1"/>
      <c r="H116" s="1"/>
      <c r="I116" s="3"/>
      <c r="J116" s="1"/>
      <c r="K116" s="4"/>
      <c r="L116" s="1"/>
      <c r="M116" s="1"/>
      <c r="N116" s="1"/>
      <c r="O116" s="1"/>
      <c r="Q116" s="4"/>
      <c r="R116" s="394">
        <v>0</v>
      </c>
      <c r="S116" s="244" t="s">
        <v>275</v>
      </c>
    </row>
    <row r="117" spans="3:19">
      <c r="C117" s="1"/>
      <c r="D117" s="2"/>
      <c r="E117" s="1"/>
      <c r="F117" s="1"/>
      <c r="G117" s="1"/>
      <c r="H117" s="1"/>
      <c r="I117" s="3"/>
      <c r="J117" s="1"/>
      <c r="K117" s="4"/>
      <c r="L117" s="1"/>
      <c r="M117" s="1"/>
      <c r="N117" s="1"/>
      <c r="O117" s="1"/>
      <c r="P117" s="1"/>
      <c r="Q117" s="4"/>
      <c r="R117" s="394">
        <v>94283133.637234092</v>
      </c>
      <c r="S117" s="244" t="s">
        <v>350</v>
      </c>
    </row>
    <row r="118" spans="3:19">
      <c r="C118" s="1"/>
      <c r="D118" s="2"/>
      <c r="E118" s="1"/>
      <c r="F118" s="1"/>
      <c r="G118" s="1"/>
      <c r="H118" s="1"/>
      <c r="I118" s="3"/>
      <c r="J118" s="1"/>
      <c r="K118" s="4"/>
      <c r="L118" s="1"/>
      <c r="M118" s="1"/>
      <c r="N118" s="1"/>
      <c r="O118" s="1"/>
      <c r="P118" s="1"/>
      <c r="Q118" s="4"/>
      <c r="R118" s="394">
        <v>35402232.217984505</v>
      </c>
      <c r="S118" s="244" t="s">
        <v>351</v>
      </c>
    </row>
    <row r="119" spans="3:19">
      <c r="C119" s="1"/>
      <c r="D119" s="2"/>
      <c r="E119" s="1"/>
      <c r="F119" s="1"/>
      <c r="G119" s="1"/>
      <c r="H119" s="1"/>
      <c r="I119" s="3"/>
      <c r="J119" s="1"/>
      <c r="K119" s="4"/>
      <c r="L119" s="1"/>
      <c r="M119" s="1"/>
      <c r="N119" s="1"/>
      <c r="O119" s="1"/>
      <c r="P119" s="1"/>
      <c r="Q119" s="4"/>
      <c r="R119" s="394">
        <v>14980590.361454505</v>
      </c>
      <c r="S119" s="244" t="s">
        <v>352</v>
      </c>
    </row>
    <row r="120" spans="3:19">
      <c r="C120" s="1"/>
      <c r="D120" s="2"/>
      <c r="E120" s="1"/>
      <c r="F120" s="1"/>
      <c r="G120" s="1"/>
      <c r="H120" s="1"/>
      <c r="I120" s="3"/>
      <c r="J120" s="1"/>
      <c r="K120" s="4"/>
      <c r="L120" s="1"/>
      <c r="M120" s="1"/>
      <c r="N120" s="1"/>
      <c r="O120" s="1"/>
      <c r="P120" s="1"/>
      <c r="Q120" s="4"/>
      <c r="R120" s="394">
        <v>0</v>
      </c>
      <c r="S120" s="244" t="s">
        <v>353</v>
      </c>
    </row>
    <row r="121" spans="3:19">
      <c r="C121" s="1"/>
      <c r="D121" s="2"/>
      <c r="E121" s="1"/>
      <c r="F121" s="1"/>
      <c r="G121" s="1"/>
      <c r="H121" s="1"/>
      <c r="I121" s="3"/>
      <c r="J121" s="1"/>
      <c r="K121" s="4"/>
      <c r="L121" s="1"/>
      <c r="M121" s="1"/>
      <c r="N121" s="1"/>
      <c r="O121" s="1"/>
      <c r="P121" s="1"/>
      <c r="Q121" s="4"/>
      <c r="R121" s="394">
        <v>17165640.823174316</v>
      </c>
      <c r="S121" s="244" t="s">
        <v>354</v>
      </c>
    </row>
    <row r="122" spans="3:19">
      <c r="C122" s="1"/>
      <c r="D122" s="2"/>
      <c r="E122" s="1"/>
      <c r="F122" s="1"/>
      <c r="G122" s="1"/>
      <c r="H122" s="1"/>
      <c r="I122" s="3"/>
      <c r="J122" s="1"/>
      <c r="K122" s="4"/>
      <c r="L122" s="1"/>
      <c r="M122" s="1"/>
      <c r="N122" s="1"/>
      <c r="O122" s="1"/>
      <c r="P122" s="1"/>
      <c r="Q122" s="4"/>
      <c r="R122" s="396">
        <v>0</v>
      </c>
      <c r="S122" s="244" t="s">
        <v>113</v>
      </c>
    </row>
    <row r="123" spans="3:19">
      <c r="C123" s="1"/>
      <c r="D123" s="2"/>
      <c r="E123" s="1"/>
      <c r="F123" s="1"/>
      <c r="G123" s="1"/>
      <c r="H123" s="1"/>
      <c r="I123" s="3"/>
      <c r="J123" s="1"/>
      <c r="K123" s="4"/>
      <c r="L123" s="1"/>
      <c r="M123" s="1"/>
      <c r="N123" s="1"/>
      <c r="O123" s="1"/>
      <c r="P123" s="1"/>
      <c r="Q123" s="4"/>
      <c r="R123" s="394">
        <v>607930310.73895669</v>
      </c>
      <c r="S123" s="244" t="s">
        <v>223</v>
      </c>
    </row>
    <row r="124" spans="3:19">
      <c r="C124" s="1"/>
      <c r="D124" s="2"/>
      <c r="E124" s="1"/>
      <c r="F124" s="1"/>
      <c r="G124" s="1"/>
      <c r="H124" s="1"/>
      <c r="I124" s="3"/>
      <c r="J124" s="1"/>
      <c r="K124" s="4"/>
      <c r="L124" s="1"/>
      <c r="M124" s="1"/>
      <c r="N124" s="1"/>
      <c r="O124" s="1"/>
      <c r="P124" s="1"/>
      <c r="Q124" s="4"/>
      <c r="R124" s="396">
        <v>0.12685252150089582</v>
      </c>
      <c r="S124" s="397" t="s">
        <v>224</v>
      </c>
    </row>
    <row r="125" spans="3:19">
      <c r="C125" s="1"/>
      <c r="D125" s="2"/>
      <c r="E125" s="1"/>
      <c r="F125" s="1"/>
      <c r="G125" s="1"/>
      <c r="H125" s="1"/>
      <c r="I125" s="3"/>
      <c r="J125" s="1"/>
      <c r="K125" s="4"/>
      <c r="L125" s="1"/>
      <c r="M125" s="1"/>
      <c r="N125" s="1"/>
      <c r="O125" s="1"/>
      <c r="P125" s="1"/>
      <c r="Q125" s="4"/>
      <c r="R125" s="398">
        <v>832778192</v>
      </c>
      <c r="S125" s="391" t="s">
        <v>32</v>
      </c>
    </row>
    <row r="126" spans="3:19">
      <c r="C126" s="1"/>
      <c r="D126" s="2"/>
      <c r="E126" s="1"/>
      <c r="F126" s="1"/>
      <c r="G126" s="1"/>
      <c r="H126" s="1"/>
      <c r="I126" s="3"/>
      <c r="J126" s="1"/>
      <c r="K126" s="4"/>
      <c r="L126" s="1"/>
      <c r="M126" s="1"/>
      <c r="N126" s="1"/>
      <c r="O126" s="1"/>
      <c r="P126" s="1"/>
      <c r="Q126" s="4"/>
      <c r="R126" s="399">
        <v>858822495</v>
      </c>
      <c r="S126" s="393" t="s">
        <v>33</v>
      </c>
    </row>
    <row r="127" spans="3:19">
      <c r="C127" s="1"/>
      <c r="D127" s="2"/>
      <c r="E127" s="1"/>
      <c r="F127" s="1"/>
      <c r="G127" s="1"/>
      <c r="H127" s="1"/>
      <c r="I127" s="3"/>
      <c r="J127" s="1"/>
      <c r="K127" s="4"/>
      <c r="L127" s="1"/>
      <c r="M127" s="1"/>
      <c r="N127" s="1"/>
      <c r="O127" s="1"/>
      <c r="P127" s="1"/>
      <c r="Q127" s="4"/>
      <c r="R127" s="400"/>
      <c r="S127" s="401" t="s">
        <v>355</v>
      </c>
    </row>
    <row r="128" spans="3:19" ht="13.5" thickBot="1">
      <c r="C128" s="1"/>
      <c r="D128" s="2"/>
      <c r="E128" s="1"/>
      <c r="F128" s="1"/>
      <c r="G128" s="1"/>
      <c r="H128" s="1"/>
      <c r="I128" s="3"/>
      <c r="J128" s="1"/>
      <c r="K128" s="4"/>
      <c r="L128" s="1"/>
      <c r="M128" s="1"/>
      <c r="N128" s="1"/>
      <c r="O128" s="1"/>
      <c r="P128" s="1"/>
      <c r="Q128" s="4"/>
      <c r="R128" s="402">
        <v>18413996</v>
      </c>
      <c r="S128" s="245" t="s">
        <v>356</v>
      </c>
    </row>
    <row r="129" spans="3:19">
      <c r="C129" s="1"/>
      <c r="D129" s="2"/>
      <c r="E129" s="1"/>
      <c r="F129" s="1"/>
      <c r="G129" s="1"/>
      <c r="H129" s="1"/>
      <c r="I129" s="3"/>
      <c r="J129" s="1"/>
      <c r="K129" s="4"/>
      <c r="L129" s="1"/>
      <c r="M129" s="1"/>
      <c r="N129" s="1"/>
      <c r="O129" s="1"/>
      <c r="P129" s="1"/>
      <c r="Q129" s="4"/>
      <c r="R129" s="1"/>
      <c r="S129" s="1"/>
    </row>
    <row r="130" spans="3:19">
      <c r="C130" s="1"/>
      <c r="D130" s="2"/>
      <c r="E130" s="1"/>
      <c r="F130" s="1"/>
      <c r="G130" s="1"/>
      <c r="H130" s="1"/>
      <c r="I130" s="3"/>
      <c r="J130" s="1"/>
      <c r="K130" s="4"/>
      <c r="L130" s="1"/>
      <c r="M130" s="1"/>
      <c r="N130" s="1"/>
      <c r="O130" s="1"/>
      <c r="P130" s="1"/>
      <c r="Q130" s="4"/>
      <c r="R130" s="233" t="s">
        <v>111</v>
      </c>
      <c r="S130" s="1" t="s">
        <v>125</v>
      </c>
    </row>
    <row r="131" spans="3:19" ht="13.5" thickBot="1">
      <c r="C131" s="1"/>
      <c r="D131" s="2"/>
      <c r="E131" s="1"/>
      <c r="F131" s="1"/>
      <c r="G131" s="1"/>
      <c r="H131" s="1"/>
      <c r="I131" s="3"/>
      <c r="J131" s="1"/>
      <c r="K131" s="4"/>
      <c r="L131" s="1"/>
      <c r="M131" s="1"/>
      <c r="N131" s="1"/>
      <c r="O131" s="1"/>
      <c r="P131" s="1"/>
      <c r="Q131" s="4"/>
      <c r="R131" s="235" t="s">
        <v>129</v>
      </c>
      <c r="S131" s="1"/>
    </row>
    <row r="132" spans="3:19">
      <c r="C132" s="1"/>
      <c r="D132" s="2"/>
      <c r="E132" s="1"/>
      <c r="F132" s="1"/>
      <c r="G132" s="1"/>
      <c r="H132" s="1"/>
      <c r="I132" s="3"/>
      <c r="J132" s="1"/>
      <c r="K132" s="4"/>
      <c r="L132" s="1"/>
      <c r="M132" s="1"/>
      <c r="N132" s="1"/>
      <c r="O132" s="1"/>
      <c r="P132" s="1"/>
      <c r="Q132" s="4"/>
      <c r="R132" s="237">
        <f>+N17</f>
        <v>6729904.4711072175</v>
      </c>
      <c r="S132" t="s">
        <v>131</v>
      </c>
    </row>
    <row r="133" spans="3:19">
      <c r="C133" s="1"/>
      <c r="D133" s="2"/>
      <c r="E133" s="1"/>
      <c r="F133" s="1"/>
      <c r="G133" s="1"/>
      <c r="H133" s="1"/>
      <c r="I133" s="3"/>
      <c r="J133" s="1"/>
      <c r="K133" s="4"/>
      <c r="L133" s="1"/>
      <c r="M133" s="1"/>
      <c r="N133" s="1"/>
      <c r="O133" s="1"/>
      <c r="P133" s="1"/>
      <c r="Q133" s="4"/>
      <c r="R133" s="238">
        <f>+O17</f>
        <v>6729904.4711072175</v>
      </c>
      <c r="S133" t="s">
        <v>132</v>
      </c>
    </row>
    <row r="134" spans="3:19">
      <c r="C134" s="1"/>
      <c r="D134" s="2"/>
      <c r="E134" s="1"/>
      <c r="F134" s="1"/>
      <c r="G134" s="1"/>
      <c r="H134" s="1"/>
      <c r="I134" s="3"/>
      <c r="J134" s="1"/>
      <c r="K134" s="4"/>
      <c r="L134" s="1"/>
      <c r="M134" s="1"/>
      <c r="N134" s="1"/>
      <c r="O134" s="1"/>
      <c r="P134" s="1"/>
      <c r="Q134" s="4"/>
      <c r="R134" s="242">
        <f>+N18</f>
        <v>6814046.4098945772</v>
      </c>
      <c r="S134" t="s">
        <v>133</v>
      </c>
    </row>
    <row r="135" spans="3:19" ht="13.5" thickBot="1">
      <c r="C135" s="1"/>
      <c r="D135" s="2"/>
      <c r="E135" s="1"/>
      <c r="F135" s="1"/>
      <c r="G135" s="1"/>
      <c r="H135" s="1"/>
      <c r="I135" s="3"/>
      <c r="J135" s="1"/>
      <c r="K135" s="4"/>
      <c r="L135" s="1"/>
      <c r="M135" s="1"/>
      <c r="N135" s="1"/>
      <c r="O135" s="1"/>
      <c r="P135" s="1"/>
      <c r="Q135" s="4"/>
      <c r="R135" s="239">
        <f>+O18</f>
        <v>6814046.4098945772</v>
      </c>
      <c r="S135" t="s">
        <v>134</v>
      </c>
    </row>
    <row r="136" spans="3:19">
      <c r="C136" s="1"/>
      <c r="D136" s="2"/>
      <c r="E136" s="1"/>
      <c r="F136" s="1"/>
      <c r="G136" s="1"/>
      <c r="H136" s="1"/>
      <c r="I136" s="3"/>
      <c r="J136" s="1"/>
      <c r="K136" s="4"/>
      <c r="L136" s="1"/>
      <c r="M136" s="1"/>
      <c r="N136" s="1"/>
      <c r="O136" s="1"/>
      <c r="P136" s="1"/>
      <c r="Q136" s="4"/>
      <c r="R136" s="1"/>
      <c r="S136" s="1"/>
    </row>
    <row r="137" spans="3:19">
      <c r="C137" s="1"/>
      <c r="D137" s="2"/>
      <c r="E137" s="1"/>
      <c r="F137" s="1"/>
      <c r="G137" s="1"/>
      <c r="H137" s="1"/>
      <c r="I137" s="3"/>
      <c r="J137" s="1"/>
      <c r="K137" s="4"/>
      <c r="L137" s="1"/>
      <c r="M137" s="1"/>
      <c r="N137" s="1"/>
      <c r="O137" s="1"/>
      <c r="P137" s="1"/>
      <c r="Q137" s="4"/>
      <c r="R137" s="233" t="s">
        <v>123</v>
      </c>
      <c r="S137" s="232" t="s">
        <v>128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37" fitToHeight="5" orientation="landscape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0" zoomScaleNormal="7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27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230012.66047295602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230012.66047295602</v>
      </c>
      <c r="O6" s="1"/>
      <c r="P6" s="1"/>
    </row>
    <row r="7" spans="1:16" ht="13.5" thickBot="1">
      <c r="C7" s="127" t="s">
        <v>41</v>
      </c>
      <c r="D7" s="486" t="s">
        <v>341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8" t="s">
        <v>340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4120000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103000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84">
        <v>0</v>
      </c>
      <c r="E17" s="485">
        <v>0</v>
      </c>
      <c r="F17" s="163">
        <f>IF(D11=C17,+D10-E17,+D17-E17)</f>
        <v>4120000</v>
      </c>
      <c r="G17" s="159">
        <f>(D17+F17)/2*I$12+E17</f>
        <v>230012.66047295602</v>
      </c>
      <c r="H17" s="147">
        <f>+(D17+F17)/2*I$13+E17</f>
        <v>230012.66047295602</v>
      </c>
      <c r="I17" s="160">
        <f t="shared" ref="I17:I72" si="0">H17-G17</f>
        <v>0</v>
      </c>
      <c r="J17" s="160"/>
      <c r="K17" s="337">
        <v>0</v>
      </c>
      <c r="L17" s="161">
        <f t="shared" ref="L17:L72" si="1">IF(K17&lt;&gt;0,+G17-K17,0)</f>
        <v>0</v>
      </c>
      <c r="M17" s="337">
        <v>0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2020</v>
      </c>
      <c r="D18" s="166">
        <f>IF(F17+SUM(E$17:E17)=D$10,F17,D$10-SUM(E$17:E17))</f>
        <v>4120000</v>
      </c>
      <c r="E18" s="164">
        <f t="shared" ref="E18:E72" si="4">IF(+I$14&lt;F17,I$14,D18)</f>
        <v>103000</v>
      </c>
      <c r="F18" s="163">
        <f t="shared" ref="F18:F72" si="5">+D18-E18</f>
        <v>4017000</v>
      </c>
      <c r="G18" s="165">
        <f t="shared" ref="G18:G72" si="6">(D18+F18)/2*I$12+E18</f>
        <v>557275.00443408813</v>
      </c>
      <c r="H18" s="147">
        <f t="shared" ref="H18:H72" si="7">+(D18+F18)/2*I$13+E18</f>
        <v>557275.00443408813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4017000</v>
      </c>
      <c r="E19" s="164">
        <f t="shared" si="4"/>
        <v>103000</v>
      </c>
      <c r="F19" s="163">
        <f t="shared" si="5"/>
        <v>3914000</v>
      </c>
      <c r="G19" s="165">
        <f t="shared" si="6"/>
        <v>545774.3714104403</v>
      </c>
      <c r="H19" s="147">
        <f t="shared" si="7"/>
        <v>545774.3714104403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2022</v>
      </c>
      <c r="D20" s="166">
        <f>IF(F19+SUM(E$17:E19)=D$10,F19,D$10-SUM(E$17:E19))</f>
        <v>3914000</v>
      </c>
      <c r="E20" s="164">
        <f t="shared" si="4"/>
        <v>103000</v>
      </c>
      <c r="F20" s="163">
        <f t="shared" si="5"/>
        <v>3811000</v>
      </c>
      <c r="G20" s="165">
        <f t="shared" si="6"/>
        <v>534273.7383867926</v>
      </c>
      <c r="H20" s="147">
        <f t="shared" si="7"/>
        <v>534273.7383867926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2023</v>
      </c>
      <c r="D21" s="166">
        <f>IF(F20+SUM(E$17:E20)=D$10,F20,D$10-SUM(E$17:E20))</f>
        <v>3811000</v>
      </c>
      <c r="E21" s="164">
        <f t="shared" si="4"/>
        <v>103000</v>
      </c>
      <c r="F21" s="163">
        <f t="shared" si="5"/>
        <v>3708000</v>
      </c>
      <c r="G21" s="165">
        <f t="shared" si="6"/>
        <v>522773.10536314471</v>
      </c>
      <c r="H21" s="147">
        <f t="shared" si="7"/>
        <v>522773.10536314471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2024</v>
      </c>
      <c r="D22" s="166">
        <f>IF(F21+SUM(E$17:E21)=D$10,F21,D$10-SUM(E$17:E21))</f>
        <v>3708000</v>
      </c>
      <c r="E22" s="164">
        <f t="shared" si="4"/>
        <v>103000</v>
      </c>
      <c r="F22" s="163">
        <f t="shared" si="5"/>
        <v>3605000</v>
      </c>
      <c r="G22" s="165">
        <f t="shared" si="6"/>
        <v>511272.47233949695</v>
      </c>
      <c r="H22" s="147">
        <f t="shared" si="7"/>
        <v>511272.47233949695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2025</v>
      </c>
      <c r="D23" s="166">
        <f>IF(F22+SUM(E$17:E22)=D$10,F22,D$10-SUM(E$17:E22))</f>
        <v>3605000</v>
      </c>
      <c r="E23" s="164">
        <f t="shared" si="4"/>
        <v>103000</v>
      </c>
      <c r="F23" s="163">
        <f t="shared" si="5"/>
        <v>3502000</v>
      </c>
      <c r="G23" s="165">
        <f t="shared" si="6"/>
        <v>499771.83931584912</v>
      </c>
      <c r="H23" s="147">
        <f t="shared" si="7"/>
        <v>499771.83931584912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2026</v>
      </c>
      <c r="D24" s="166">
        <f>IF(F23+SUM(E$17:E23)=D$10,F23,D$10-SUM(E$17:E23))</f>
        <v>3502000</v>
      </c>
      <c r="E24" s="164">
        <f t="shared" si="4"/>
        <v>103000</v>
      </c>
      <c r="F24" s="163">
        <f t="shared" si="5"/>
        <v>3399000</v>
      </c>
      <c r="G24" s="165">
        <f t="shared" si="6"/>
        <v>488271.2062922013</v>
      </c>
      <c r="H24" s="147">
        <f t="shared" si="7"/>
        <v>488271.2062922013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2027</v>
      </c>
      <c r="D25" s="166">
        <f>IF(F24+SUM(E$17:E24)=D$10,F24,D$10-SUM(E$17:E24))</f>
        <v>3399000</v>
      </c>
      <c r="E25" s="164">
        <f t="shared" si="4"/>
        <v>103000</v>
      </c>
      <c r="F25" s="163">
        <f t="shared" si="5"/>
        <v>3296000</v>
      </c>
      <c r="G25" s="165">
        <f t="shared" si="6"/>
        <v>476770.57326855353</v>
      </c>
      <c r="H25" s="147">
        <f t="shared" si="7"/>
        <v>476770.57326855353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2028</v>
      </c>
      <c r="D26" s="166">
        <f>IF(F25+SUM(E$17:E25)=D$10,F25,D$10-SUM(E$17:E25))</f>
        <v>3296000</v>
      </c>
      <c r="E26" s="164">
        <f t="shared" si="4"/>
        <v>103000</v>
      </c>
      <c r="F26" s="163">
        <f t="shared" si="5"/>
        <v>3193000</v>
      </c>
      <c r="G26" s="165">
        <f t="shared" si="6"/>
        <v>465269.94024490571</v>
      </c>
      <c r="H26" s="147">
        <f t="shared" si="7"/>
        <v>465269.94024490571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2029</v>
      </c>
      <c r="D27" s="166">
        <f>IF(F26+SUM(E$17:E26)=D$10,F26,D$10-SUM(E$17:E26))</f>
        <v>3193000</v>
      </c>
      <c r="E27" s="164">
        <f t="shared" si="4"/>
        <v>103000</v>
      </c>
      <c r="F27" s="163">
        <f t="shared" si="5"/>
        <v>3090000</v>
      </c>
      <c r="G27" s="165">
        <f t="shared" si="6"/>
        <v>453769.30722125794</v>
      </c>
      <c r="H27" s="147">
        <f t="shared" si="7"/>
        <v>453769.30722125794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2030</v>
      </c>
      <c r="D28" s="166">
        <f>IF(F27+SUM(E$17:E27)=D$10,F27,D$10-SUM(E$17:E27))</f>
        <v>3090000</v>
      </c>
      <c r="E28" s="164">
        <f t="shared" si="4"/>
        <v>103000</v>
      </c>
      <c r="F28" s="163">
        <f t="shared" si="5"/>
        <v>2987000</v>
      </c>
      <c r="G28" s="165">
        <f t="shared" si="6"/>
        <v>442268.67419761012</v>
      </c>
      <c r="H28" s="147">
        <f t="shared" si="7"/>
        <v>442268.67419761012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2031</v>
      </c>
      <c r="D29" s="166">
        <f>IF(F28+SUM(E$17:E28)=D$10,F28,D$10-SUM(E$17:E28))</f>
        <v>2987000</v>
      </c>
      <c r="E29" s="164">
        <f t="shared" si="4"/>
        <v>103000</v>
      </c>
      <c r="F29" s="163">
        <f t="shared" si="5"/>
        <v>2884000</v>
      </c>
      <c r="G29" s="165">
        <f t="shared" si="6"/>
        <v>430768.04117396229</v>
      </c>
      <c r="H29" s="147">
        <f t="shared" si="7"/>
        <v>430768.04117396229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2032</v>
      </c>
      <c r="D30" s="166">
        <f>IF(F29+SUM(E$17:E29)=D$10,F29,D$10-SUM(E$17:E29))</f>
        <v>2884000</v>
      </c>
      <c r="E30" s="164">
        <f t="shared" si="4"/>
        <v>103000</v>
      </c>
      <c r="F30" s="163">
        <f t="shared" si="5"/>
        <v>2781000</v>
      </c>
      <c r="G30" s="165">
        <f t="shared" si="6"/>
        <v>419267.40815031453</v>
      </c>
      <c r="H30" s="147">
        <f t="shared" si="7"/>
        <v>419267.40815031453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2033</v>
      </c>
      <c r="D31" s="166">
        <f>IF(F30+SUM(E$17:E30)=D$10,F30,D$10-SUM(E$17:E30))</f>
        <v>2781000</v>
      </c>
      <c r="E31" s="164">
        <f t="shared" si="4"/>
        <v>103000</v>
      </c>
      <c r="F31" s="163">
        <f t="shared" si="5"/>
        <v>2678000</v>
      </c>
      <c r="G31" s="165">
        <f t="shared" si="6"/>
        <v>407766.7751266667</v>
      </c>
      <c r="H31" s="147">
        <f t="shared" si="7"/>
        <v>407766.7751266667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2034</v>
      </c>
      <c r="D32" s="166">
        <f>IF(F31+SUM(E$17:E31)=D$10,F31,D$10-SUM(E$17:E31))</f>
        <v>2678000</v>
      </c>
      <c r="E32" s="164">
        <f t="shared" si="4"/>
        <v>103000</v>
      </c>
      <c r="F32" s="163">
        <f t="shared" si="5"/>
        <v>2575000</v>
      </c>
      <c r="G32" s="165">
        <f t="shared" si="6"/>
        <v>396266.14210301894</v>
      </c>
      <c r="H32" s="147">
        <f t="shared" si="7"/>
        <v>396266.14210301894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2035</v>
      </c>
      <c r="D33" s="166">
        <f>IF(F32+SUM(E$17:E32)=D$10,F32,D$10-SUM(E$17:E32))</f>
        <v>2575000</v>
      </c>
      <c r="E33" s="164">
        <f t="shared" si="4"/>
        <v>103000</v>
      </c>
      <c r="F33" s="163">
        <f t="shared" si="5"/>
        <v>2472000</v>
      </c>
      <c r="G33" s="165">
        <f t="shared" si="6"/>
        <v>384765.50907937111</v>
      </c>
      <c r="H33" s="147">
        <f t="shared" si="7"/>
        <v>384765.50907937111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2036</v>
      </c>
      <c r="D34" s="166">
        <f>IF(F33+SUM(E$17:E33)=D$10,F33,D$10-SUM(E$17:E33))</f>
        <v>2472000</v>
      </c>
      <c r="E34" s="164">
        <f t="shared" si="4"/>
        <v>103000</v>
      </c>
      <c r="F34" s="163">
        <f t="shared" si="5"/>
        <v>2369000</v>
      </c>
      <c r="G34" s="165">
        <f t="shared" si="6"/>
        <v>373264.87605572329</v>
      </c>
      <c r="H34" s="147">
        <f t="shared" si="7"/>
        <v>373264.87605572329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2037</v>
      </c>
      <c r="D35" s="166">
        <f>IF(F34+SUM(E$17:E34)=D$10,F34,D$10-SUM(E$17:E34))</f>
        <v>2369000</v>
      </c>
      <c r="E35" s="164">
        <f t="shared" si="4"/>
        <v>103000</v>
      </c>
      <c r="F35" s="163">
        <f t="shared" si="5"/>
        <v>2266000</v>
      </c>
      <c r="G35" s="165">
        <f t="shared" si="6"/>
        <v>361764.24303207552</v>
      </c>
      <c r="H35" s="147">
        <f t="shared" si="7"/>
        <v>361764.24303207552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2038</v>
      </c>
      <c r="D36" s="166">
        <f>IF(F35+SUM(E$17:E35)=D$10,F35,D$10-SUM(E$17:E35))</f>
        <v>2266000</v>
      </c>
      <c r="E36" s="164">
        <f t="shared" si="4"/>
        <v>103000</v>
      </c>
      <c r="F36" s="163">
        <f t="shared" si="5"/>
        <v>2163000</v>
      </c>
      <c r="G36" s="165">
        <f t="shared" si="6"/>
        <v>350263.6100084277</v>
      </c>
      <c r="H36" s="147">
        <f t="shared" si="7"/>
        <v>350263.6100084277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2039</v>
      </c>
      <c r="D37" s="166">
        <f>IF(F36+SUM(E$17:E36)=D$10,F36,D$10-SUM(E$17:E36))</f>
        <v>2163000</v>
      </c>
      <c r="E37" s="164">
        <f t="shared" si="4"/>
        <v>103000</v>
      </c>
      <c r="F37" s="163">
        <f t="shared" si="5"/>
        <v>2060000</v>
      </c>
      <c r="G37" s="165">
        <f t="shared" si="6"/>
        <v>338762.97698477993</v>
      </c>
      <c r="H37" s="147">
        <f t="shared" si="7"/>
        <v>338762.97698477993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2040</v>
      </c>
      <c r="D38" s="166">
        <f>IF(F37+SUM(E$17:E37)=D$10,F37,D$10-SUM(E$17:E37))</f>
        <v>2060000</v>
      </c>
      <c r="E38" s="164">
        <f t="shared" si="4"/>
        <v>103000</v>
      </c>
      <c r="F38" s="163">
        <f t="shared" si="5"/>
        <v>1957000</v>
      </c>
      <c r="G38" s="165">
        <f t="shared" si="6"/>
        <v>327262.34396113211</v>
      </c>
      <c r="H38" s="147">
        <f t="shared" si="7"/>
        <v>327262.34396113211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2041</v>
      </c>
      <c r="D39" s="166">
        <f>IF(F38+SUM(E$17:E38)=D$10,F38,D$10-SUM(E$17:E38))</f>
        <v>1957000</v>
      </c>
      <c r="E39" s="164">
        <f t="shared" si="4"/>
        <v>103000</v>
      </c>
      <c r="F39" s="163">
        <f t="shared" si="5"/>
        <v>1854000</v>
      </c>
      <c r="G39" s="165">
        <f t="shared" si="6"/>
        <v>315761.71093748428</v>
      </c>
      <c r="H39" s="147">
        <f t="shared" si="7"/>
        <v>315761.71093748428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2042</v>
      </c>
      <c r="D40" s="166">
        <f>IF(F39+SUM(E$17:E39)=D$10,F39,D$10-SUM(E$17:E39))</f>
        <v>1854000</v>
      </c>
      <c r="E40" s="164">
        <f t="shared" si="4"/>
        <v>103000</v>
      </c>
      <c r="F40" s="163">
        <f t="shared" si="5"/>
        <v>1751000</v>
      </c>
      <c r="G40" s="165">
        <f t="shared" si="6"/>
        <v>304261.07791383652</v>
      </c>
      <c r="H40" s="147">
        <f t="shared" si="7"/>
        <v>304261.07791383652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2043</v>
      </c>
      <c r="D41" s="166">
        <f>IF(F40+SUM(E$17:E40)=D$10,F40,D$10-SUM(E$17:E40))</f>
        <v>1751000</v>
      </c>
      <c r="E41" s="164">
        <f t="shared" si="4"/>
        <v>103000</v>
      </c>
      <c r="F41" s="163">
        <f t="shared" si="5"/>
        <v>1648000</v>
      </c>
      <c r="G41" s="165">
        <f t="shared" si="6"/>
        <v>292760.44489018875</v>
      </c>
      <c r="H41" s="147">
        <f t="shared" si="7"/>
        <v>292760.44489018875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2044</v>
      </c>
      <c r="D42" s="166">
        <f>IF(F41+SUM(E$17:E41)=D$10,F41,D$10-SUM(E$17:E41))</f>
        <v>1648000</v>
      </c>
      <c r="E42" s="164">
        <f t="shared" si="4"/>
        <v>103000</v>
      </c>
      <c r="F42" s="163">
        <f t="shared" si="5"/>
        <v>1545000</v>
      </c>
      <c r="G42" s="165">
        <f t="shared" si="6"/>
        <v>281259.81186654093</v>
      </c>
      <c r="H42" s="147">
        <f t="shared" si="7"/>
        <v>281259.81186654093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2045</v>
      </c>
      <c r="D43" s="166">
        <f>IF(F42+SUM(E$17:E42)=D$10,F42,D$10-SUM(E$17:E42))</f>
        <v>1545000</v>
      </c>
      <c r="E43" s="164">
        <f t="shared" si="4"/>
        <v>103000</v>
      </c>
      <c r="F43" s="163">
        <f t="shared" si="5"/>
        <v>1442000</v>
      </c>
      <c r="G43" s="165">
        <f t="shared" si="6"/>
        <v>269759.1788428931</v>
      </c>
      <c r="H43" s="147">
        <f t="shared" si="7"/>
        <v>269759.1788428931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2046</v>
      </c>
      <c r="D44" s="166">
        <f>IF(F43+SUM(E$17:E43)=D$10,F43,D$10-SUM(E$17:E43))</f>
        <v>1442000</v>
      </c>
      <c r="E44" s="164">
        <f t="shared" si="4"/>
        <v>103000</v>
      </c>
      <c r="F44" s="163">
        <f t="shared" si="5"/>
        <v>1339000</v>
      </c>
      <c r="G44" s="165">
        <f t="shared" si="6"/>
        <v>258258.54581924531</v>
      </c>
      <c r="H44" s="147">
        <f t="shared" si="7"/>
        <v>258258.54581924531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2047</v>
      </c>
      <c r="D45" s="166">
        <f>IF(F44+SUM(E$17:E44)=D$10,F44,D$10-SUM(E$17:E44))</f>
        <v>1339000</v>
      </c>
      <c r="E45" s="164">
        <f t="shared" si="4"/>
        <v>103000</v>
      </c>
      <c r="F45" s="163">
        <f t="shared" si="5"/>
        <v>1236000</v>
      </c>
      <c r="G45" s="165">
        <f t="shared" si="6"/>
        <v>246757.91279559751</v>
      </c>
      <c r="H45" s="147">
        <f t="shared" si="7"/>
        <v>246757.91279559751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2048</v>
      </c>
      <c r="D46" s="166">
        <f>IF(F45+SUM(E$17:E45)=D$10,F45,D$10-SUM(E$17:E45))</f>
        <v>1236000</v>
      </c>
      <c r="E46" s="164">
        <f t="shared" si="4"/>
        <v>103000</v>
      </c>
      <c r="F46" s="163">
        <f t="shared" si="5"/>
        <v>1133000</v>
      </c>
      <c r="G46" s="165">
        <f t="shared" si="6"/>
        <v>235257.27977194972</v>
      </c>
      <c r="H46" s="147">
        <f t="shared" si="7"/>
        <v>235257.27977194972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2049</v>
      </c>
      <c r="D47" s="166">
        <f>IF(F46+SUM(E$17:E46)=D$10,F46,D$10-SUM(E$17:E46))</f>
        <v>1133000</v>
      </c>
      <c r="E47" s="164">
        <f t="shared" si="4"/>
        <v>103000</v>
      </c>
      <c r="F47" s="163">
        <f t="shared" si="5"/>
        <v>1030000</v>
      </c>
      <c r="G47" s="165">
        <f t="shared" si="6"/>
        <v>223756.64674830192</v>
      </c>
      <c r="H47" s="147">
        <f t="shared" si="7"/>
        <v>223756.64674830192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2050</v>
      </c>
      <c r="D48" s="166">
        <f>IF(F47+SUM(E$17:E47)=D$10,F47,D$10-SUM(E$17:E47))</f>
        <v>1030000</v>
      </c>
      <c r="E48" s="164">
        <f t="shared" si="4"/>
        <v>103000</v>
      </c>
      <c r="F48" s="163">
        <f t="shared" si="5"/>
        <v>927000</v>
      </c>
      <c r="G48" s="165">
        <f t="shared" si="6"/>
        <v>212256.0137246541</v>
      </c>
      <c r="H48" s="147">
        <f t="shared" si="7"/>
        <v>212256.0137246541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2051</v>
      </c>
      <c r="D49" s="166">
        <f>IF(F48+SUM(E$17:E48)=D$10,F48,D$10-SUM(E$17:E48))</f>
        <v>927000</v>
      </c>
      <c r="E49" s="164">
        <f t="shared" si="4"/>
        <v>103000</v>
      </c>
      <c r="F49" s="163">
        <f t="shared" si="5"/>
        <v>824000</v>
      </c>
      <c r="G49" s="165">
        <f t="shared" si="6"/>
        <v>200755.3807010063</v>
      </c>
      <c r="H49" s="147">
        <f t="shared" si="7"/>
        <v>200755.3807010063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2052</v>
      </c>
      <c r="D50" s="166">
        <f>IF(F49+SUM(E$17:E49)=D$10,F49,D$10-SUM(E$17:E49))</f>
        <v>824000</v>
      </c>
      <c r="E50" s="164">
        <f t="shared" si="4"/>
        <v>103000</v>
      </c>
      <c r="F50" s="163">
        <f t="shared" si="5"/>
        <v>721000</v>
      </c>
      <c r="G50" s="165">
        <f t="shared" si="6"/>
        <v>189254.74767735851</v>
      </c>
      <c r="H50" s="147">
        <f t="shared" si="7"/>
        <v>189254.74767735851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2053</v>
      </c>
      <c r="D51" s="166">
        <f>IF(F50+SUM(E$17:E50)=D$10,F50,D$10-SUM(E$17:E50))</f>
        <v>721000</v>
      </c>
      <c r="E51" s="164">
        <f t="shared" si="4"/>
        <v>103000</v>
      </c>
      <c r="F51" s="163">
        <f t="shared" si="5"/>
        <v>618000</v>
      </c>
      <c r="G51" s="165">
        <f t="shared" si="6"/>
        <v>177754.11465371068</v>
      </c>
      <c r="H51" s="147">
        <f t="shared" si="7"/>
        <v>177754.11465371068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2054</v>
      </c>
      <c r="D52" s="166">
        <f>IF(F51+SUM(E$17:E51)=D$10,F51,D$10-SUM(E$17:E51))</f>
        <v>618000</v>
      </c>
      <c r="E52" s="164">
        <f t="shared" si="4"/>
        <v>103000</v>
      </c>
      <c r="F52" s="163">
        <f t="shared" si="5"/>
        <v>515000</v>
      </c>
      <c r="G52" s="165">
        <f t="shared" si="6"/>
        <v>166253.48163006292</v>
      </c>
      <c r="H52" s="147">
        <f t="shared" si="7"/>
        <v>166253.48163006292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2055</v>
      </c>
      <c r="D53" s="166">
        <f>IF(F52+SUM(E$17:E52)=D$10,F52,D$10-SUM(E$17:E52))</f>
        <v>515000</v>
      </c>
      <c r="E53" s="164">
        <f t="shared" si="4"/>
        <v>103000</v>
      </c>
      <c r="F53" s="163">
        <f t="shared" si="5"/>
        <v>412000</v>
      </c>
      <c r="G53" s="165">
        <f t="shared" si="6"/>
        <v>154752.84860641509</v>
      </c>
      <c r="H53" s="147">
        <f t="shared" si="7"/>
        <v>154752.84860641509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2056</v>
      </c>
      <c r="D54" s="166">
        <f>IF(F53+SUM(E$17:E53)=D$10,F53,D$10-SUM(E$17:E53))</f>
        <v>412000</v>
      </c>
      <c r="E54" s="164">
        <f t="shared" si="4"/>
        <v>103000</v>
      </c>
      <c r="F54" s="163">
        <f t="shared" si="5"/>
        <v>309000</v>
      </c>
      <c r="G54" s="165">
        <f t="shared" si="6"/>
        <v>143252.2155827673</v>
      </c>
      <c r="H54" s="147">
        <f t="shared" si="7"/>
        <v>143252.2155827673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2057</v>
      </c>
      <c r="D55" s="166">
        <f>IF(F54+SUM(E$17:E54)=D$10,F54,D$10-SUM(E$17:E54))</f>
        <v>309000</v>
      </c>
      <c r="E55" s="164">
        <f t="shared" si="4"/>
        <v>103000</v>
      </c>
      <c r="F55" s="163">
        <f t="shared" si="5"/>
        <v>206000</v>
      </c>
      <c r="G55" s="165">
        <f t="shared" si="6"/>
        <v>131751.5825591195</v>
      </c>
      <c r="H55" s="147">
        <f t="shared" si="7"/>
        <v>131751.5825591195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2058</v>
      </c>
      <c r="D56" s="166">
        <f>IF(F55+SUM(E$17:E55)=D$10,F55,D$10-SUM(E$17:E55))</f>
        <v>206000</v>
      </c>
      <c r="E56" s="164">
        <f t="shared" si="4"/>
        <v>103000</v>
      </c>
      <c r="F56" s="163">
        <f t="shared" si="5"/>
        <v>103000</v>
      </c>
      <c r="G56" s="165">
        <f t="shared" si="6"/>
        <v>120250.94953547171</v>
      </c>
      <c r="H56" s="147">
        <f t="shared" si="7"/>
        <v>120250.94953547171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2059</v>
      </c>
      <c r="D57" s="166">
        <f>IF(F56+SUM(E$17:E56)=D$10,F56,D$10-SUM(E$17:E56))</f>
        <v>103000</v>
      </c>
      <c r="E57" s="164">
        <f t="shared" si="4"/>
        <v>103000</v>
      </c>
      <c r="F57" s="163">
        <f t="shared" si="5"/>
        <v>0</v>
      </c>
      <c r="G57" s="165">
        <f t="shared" si="6"/>
        <v>108750.3165118239</v>
      </c>
      <c r="H57" s="147">
        <f t="shared" si="7"/>
        <v>108750.3165118239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2060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2061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2074</v>
      </c>
      <c r="D72" s="464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4120000</v>
      </c>
      <c r="F73" s="115"/>
      <c r="G73" s="115">
        <f>SUM(G17:G72)</f>
        <v>13550519.079391198</v>
      </c>
      <c r="H73" s="115">
        <f>SUM(H17:H72)</f>
        <v>13550519.079391198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27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Broken Arrow North-Lynn Lane East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51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topLeftCell="A4" zoomScale="78" zoomScaleNormal="100" zoomScaleSheetLayoutView="78" workbookViewId="0">
      <selection activeCell="G17" sqref="G17:H1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nk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41</v>
      </c>
      <c r="D7" s="227" t="s">
        <v>103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/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7"/>
      <c r="L17" s="161">
        <f t="shared" ref="L17:L48" si="0">IF(K17&lt;&gt;0,+G17-K17,0)</f>
        <v>0</v>
      </c>
      <c r="M17" s="337"/>
      <c r="N17" s="161">
        <f t="shared" ref="N17:N48" si="1">IF(M17&lt;&gt;0,+H17-M17,0)</f>
        <v>0</v>
      </c>
      <c r="O17" s="162">
        <f t="shared" ref="O17:O48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5"/>
      <c r="L18" s="162">
        <f t="shared" si="0"/>
        <v>0</v>
      </c>
      <c r="M18" s="335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5"/>
      <c r="L19" s="162">
        <f t="shared" si="0"/>
        <v>0</v>
      </c>
      <c r="M19" s="335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5"/>
      <c r="L20" s="162">
        <f t="shared" si="0"/>
        <v>0</v>
      </c>
      <c r="M20" s="335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5"/>
      <c r="L21" s="162">
        <f t="shared" si="0"/>
        <v>0</v>
      </c>
      <c r="M21" s="335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5"/>
      <c r="L22" s="162">
        <f t="shared" si="0"/>
        <v>0</v>
      </c>
      <c r="M22" s="335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5"/>
      <c r="L23" s="162">
        <f t="shared" si="0"/>
        <v>0</v>
      </c>
      <c r="M23" s="335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5"/>
      <c r="L24" s="162">
        <f t="shared" si="0"/>
        <v>0</v>
      </c>
      <c r="M24" s="335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5"/>
      <c r="L25" s="162">
        <f t="shared" si="0"/>
        <v>0</v>
      </c>
      <c r="M25" s="335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5"/>
      <c r="L26" s="162">
        <f t="shared" si="0"/>
        <v>0</v>
      </c>
      <c r="M26" s="335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5"/>
      <c r="L27" s="162">
        <f t="shared" si="0"/>
        <v>0</v>
      </c>
      <c r="M27" s="335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5"/>
      <c r="L28" s="162">
        <f t="shared" si="0"/>
        <v>0</v>
      </c>
      <c r="M28" s="335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5"/>
      <c r="L29" s="162">
        <f t="shared" si="0"/>
        <v>0</v>
      </c>
      <c r="M29" s="335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5"/>
      <c r="L30" s="162">
        <f t="shared" si="0"/>
        <v>0</v>
      </c>
      <c r="M30" s="335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5"/>
      <c r="L31" s="162">
        <f t="shared" si="0"/>
        <v>0</v>
      </c>
      <c r="M31" s="335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5"/>
      <c r="L32" s="162">
        <f t="shared" si="0"/>
        <v>0</v>
      </c>
      <c r="M32" s="335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5"/>
      <c r="L33" s="162">
        <f t="shared" si="0"/>
        <v>0</v>
      </c>
      <c r="M33" s="335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5"/>
      <c r="L34" s="162">
        <f t="shared" si="0"/>
        <v>0</v>
      </c>
      <c r="M34" s="335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5"/>
      <c r="L35" s="162">
        <f t="shared" si="0"/>
        <v>0</v>
      </c>
      <c r="M35" s="335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5"/>
      <c r="L36" s="162">
        <f t="shared" si="0"/>
        <v>0</v>
      </c>
      <c r="M36" s="335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5"/>
      <c r="L37" s="162">
        <f t="shared" si="0"/>
        <v>0</v>
      </c>
      <c r="M37" s="335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5"/>
      <c r="L38" s="162">
        <f t="shared" si="0"/>
        <v>0</v>
      </c>
      <c r="M38" s="335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5"/>
      <c r="L39" s="162">
        <f t="shared" si="0"/>
        <v>0</v>
      </c>
      <c r="M39" s="335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5"/>
      <c r="L40" s="162">
        <f t="shared" si="0"/>
        <v>0</v>
      </c>
      <c r="M40" s="335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5"/>
      <c r="L41" s="162">
        <f t="shared" si="0"/>
        <v>0</v>
      </c>
      <c r="M41" s="335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5"/>
      <c r="L42" s="162">
        <f t="shared" si="0"/>
        <v>0</v>
      </c>
      <c r="M42" s="335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5"/>
      <c r="L43" s="162">
        <f t="shared" si="0"/>
        <v>0</v>
      </c>
      <c r="M43" s="335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5"/>
      <c r="L44" s="162">
        <f t="shared" si="0"/>
        <v>0</v>
      </c>
      <c r="M44" s="335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5"/>
      <c r="L45" s="162">
        <f t="shared" si="0"/>
        <v>0</v>
      </c>
      <c r="M45" s="335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5"/>
      <c r="L46" s="162">
        <f t="shared" si="0"/>
        <v>0</v>
      </c>
      <c r="M46" s="335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5"/>
      <c r="L47" s="162">
        <f t="shared" si="0"/>
        <v>0</v>
      </c>
      <c r="M47" s="335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5"/>
      <c r="L48" s="162">
        <f t="shared" si="0"/>
        <v>0</v>
      </c>
      <c r="M48" s="335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5"/>
      <c r="L49" s="162">
        <f t="shared" ref="L49:L72" si="9">IF(K49&lt;&gt;0,+G49-K49,0)</f>
        <v>0</v>
      </c>
      <c r="M49" s="335"/>
      <c r="N49" s="162">
        <f t="shared" ref="N49:N72" si="10">IF(M49&lt;&gt;0,+H49-M49,0)</f>
        <v>0</v>
      </c>
      <c r="O49" s="162">
        <f t="shared" ref="O49:O72" si="11">+N49-L49</f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5"/>
      <c r="L50" s="162">
        <f t="shared" si="9"/>
        <v>0</v>
      </c>
      <c r="M50" s="335"/>
      <c r="N50" s="162">
        <f t="shared" si="10"/>
        <v>0</v>
      </c>
      <c r="O50" s="162">
        <f t="shared" si="11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5"/>
      <c r="L51" s="162">
        <f t="shared" si="9"/>
        <v>0</v>
      </c>
      <c r="M51" s="335"/>
      <c r="N51" s="162">
        <f t="shared" si="10"/>
        <v>0</v>
      </c>
      <c r="O51" s="162">
        <f t="shared" si="11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5"/>
      <c r="L52" s="162">
        <f t="shared" si="9"/>
        <v>0</v>
      </c>
      <c r="M52" s="335"/>
      <c r="N52" s="162">
        <f t="shared" si="10"/>
        <v>0</v>
      </c>
      <c r="O52" s="162">
        <f t="shared" si="11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5"/>
      <c r="L53" s="162">
        <f t="shared" si="9"/>
        <v>0</v>
      </c>
      <c r="M53" s="335"/>
      <c r="N53" s="162">
        <f t="shared" si="10"/>
        <v>0</v>
      </c>
      <c r="O53" s="162">
        <f t="shared" si="11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5"/>
      <c r="L54" s="162">
        <f t="shared" si="9"/>
        <v>0</v>
      </c>
      <c r="M54" s="335"/>
      <c r="N54" s="162">
        <f t="shared" si="10"/>
        <v>0</v>
      </c>
      <c r="O54" s="162">
        <f t="shared" si="11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5"/>
      <c r="L55" s="162">
        <f t="shared" si="9"/>
        <v>0</v>
      </c>
      <c r="M55" s="335"/>
      <c r="N55" s="162">
        <f t="shared" si="10"/>
        <v>0</v>
      </c>
      <c r="O55" s="162">
        <f t="shared" si="11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5"/>
      <c r="L56" s="162">
        <f t="shared" si="9"/>
        <v>0</v>
      </c>
      <c r="M56" s="335"/>
      <c r="N56" s="162">
        <f t="shared" si="10"/>
        <v>0</v>
      </c>
      <c r="O56" s="162">
        <f t="shared" si="11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5"/>
      <c r="L57" s="162">
        <f t="shared" si="9"/>
        <v>0</v>
      </c>
      <c r="M57" s="335"/>
      <c r="N57" s="162">
        <f t="shared" si="10"/>
        <v>0</v>
      </c>
      <c r="O57" s="162">
        <f t="shared" si="11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5"/>
      <c r="L58" s="162">
        <f t="shared" si="9"/>
        <v>0</v>
      </c>
      <c r="M58" s="335"/>
      <c r="N58" s="162">
        <f t="shared" si="10"/>
        <v>0</v>
      </c>
      <c r="O58" s="162">
        <f t="shared" si="11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5"/>
      <c r="L59" s="162">
        <f t="shared" si="9"/>
        <v>0</v>
      </c>
      <c r="M59" s="335"/>
      <c r="N59" s="162">
        <f t="shared" si="10"/>
        <v>0</v>
      </c>
      <c r="O59" s="162">
        <f t="shared" si="11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5"/>
      <c r="L60" s="162">
        <f t="shared" si="9"/>
        <v>0</v>
      </c>
      <c r="M60" s="335"/>
      <c r="N60" s="162">
        <f t="shared" si="10"/>
        <v>0</v>
      </c>
      <c r="O60" s="162">
        <f t="shared" si="11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5"/>
      <c r="L61" s="162">
        <f t="shared" si="9"/>
        <v>0</v>
      </c>
      <c r="M61" s="335"/>
      <c r="N61" s="162">
        <f t="shared" si="10"/>
        <v>0</v>
      </c>
      <c r="O61" s="162">
        <f t="shared" si="11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5"/>
      <c r="L62" s="162">
        <f t="shared" si="9"/>
        <v>0</v>
      </c>
      <c r="M62" s="335"/>
      <c r="N62" s="162">
        <f t="shared" si="10"/>
        <v>0</v>
      </c>
      <c r="O62" s="162">
        <f t="shared" si="11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5"/>
      <c r="L63" s="162">
        <f t="shared" si="9"/>
        <v>0</v>
      </c>
      <c r="M63" s="335"/>
      <c r="N63" s="162">
        <f t="shared" si="10"/>
        <v>0</v>
      </c>
      <c r="O63" s="162">
        <f t="shared" si="11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5"/>
      <c r="L64" s="162">
        <f t="shared" si="9"/>
        <v>0</v>
      </c>
      <c r="M64" s="335"/>
      <c r="N64" s="162">
        <f t="shared" si="10"/>
        <v>0</v>
      </c>
      <c r="O64" s="162">
        <f t="shared" si="11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5"/>
      <c r="L65" s="162">
        <f t="shared" si="9"/>
        <v>0</v>
      </c>
      <c r="M65" s="335"/>
      <c r="N65" s="162">
        <f t="shared" si="10"/>
        <v>0</v>
      </c>
      <c r="O65" s="162">
        <f t="shared" si="11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5"/>
      <c r="L66" s="162">
        <f t="shared" si="9"/>
        <v>0</v>
      </c>
      <c r="M66" s="335"/>
      <c r="N66" s="162">
        <f t="shared" si="10"/>
        <v>0</v>
      </c>
      <c r="O66" s="162">
        <f t="shared" si="11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5"/>
      <c r="L67" s="162">
        <f t="shared" si="9"/>
        <v>0</v>
      </c>
      <c r="M67" s="335"/>
      <c r="N67" s="162">
        <f t="shared" si="10"/>
        <v>0</v>
      </c>
      <c r="O67" s="162">
        <f t="shared" si="11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5"/>
      <c r="L68" s="162">
        <f t="shared" si="9"/>
        <v>0</v>
      </c>
      <c r="M68" s="335"/>
      <c r="N68" s="162">
        <f t="shared" si="10"/>
        <v>0</v>
      </c>
      <c r="O68" s="162">
        <f t="shared" si="11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5"/>
      <c r="L69" s="162">
        <f t="shared" si="9"/>
        <v>0</v>
      </c>
      <c r="M69" s="335"/>
      <c r="N69" s="162">
        <f t="shared" si="10"/>
        <v>0</v>
      </c>
      <c r="O69" s="162">
        <f t="shared" si="11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5"/>
      <c r="L70" s="162">
        <f t="shared" si="9"/>
        <v>0</v>
      </c>
      <c r="M70" s="335"/>
      <c r="N70" s="162">
        <f t="shared" si="10"/>
        <v>0</v>
      </c>
      <c r="O70" s="162">
        <f t="shared" si="11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5"/>
      <c r="L71" s="162">
        <f t="shared" si="9"/>
        <v>0</v>
      </c>
      <c r="M71" s="335"/>
      <c r="N71" s="162">
        <f t="shared" si="10"/>
        <v>0</v>
      </c>
      <c r="O71" s="162">
        <f t="shared" si="11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4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7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6"/>
      <c r="L72" s="173">
        <f t="shared" si="9"/>
        <v>0</v>
      </c>
      <c r="M72" s="336"/>
      <c r="N72" s="173">
        <f t="shared" si="10"/>
        <v>0</v>
      </c>
      <c r="O72" s="173">
        <f t="shared" si="11"/>
        <v>0</v>
      </c>
      <c r="P72" s="4"/>
    </row>
    <row r="73" spans="2:16">
      <c r="C73" s="158" t="s">
        <v>72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nk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inset project name here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v>2015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34"/>
      <c r="M99" s="161">
        <f t="shared" ref="M99:M130" si="12">IF(L99&lt;&gt;0,+H99-L99,0)</f>
        <v>0</v>
      </c>
      <c r="N99" s="334"/>
      <c r="O99" s="161">
        <f t="shared" ref="O99:O130" si="13">IF(N99&lt;&gt;0,+I99-N99,0)</f>
        <v>0</v>
      </c>
      <c r="P99" s="161">
        <f t="shared" ref="P99:P130" si="14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ref="H100:H154" si="15">+J$94*G100+E100</f>
        <v>0</v>
      </c>
      <c r="I100" s="344">
        <f t="shared" ref="I100:I154" si="16">+J$95*G100+E100</f>
        <v>0</v>
      </c>
      <c r="J100" s="162">
        <f t="shared" ref="J100:J130" si="17">+I100-H100</f>
        <v>0</v>
      </c>
      <c r="K100" s="162"/>
      <c r="L100" s="335"/>
      <c r="M100" s="162">
        <f t="shared" si="12"/>
        <v>0</v>
      </c>
      <c r="N100" s="335"/>
      <c r="O100" s="162">
        <f t="shared" si="13"/>
        <v>0</v>
      </c>
      <c r="P100" s="162">
        <f t="shared" si="14"/>
        <v>0</v>
      </c>
    </row>
    <row r="101" spans="1:16">
      <c r="B101" s="9" t="str">
        <f t="shared" ref="B101:B154" si="18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9">IF(+J$96&lt;F100,J$96,D101)</f>
        <v>0</v>
      </c>
      <c r="F101" s="163">
        <f t="shared" ref="F101:F154" si="20">+D101-E101</f>
        <v>0</v>
      </c>
      <c r="G101" s="163">
        <f t="shared" ref="G101:G154" si="21">+(F101+D101)/2</f>
        <v>0</v>
      </c>
      <c r="H101" s="333">
        <f t="shared" si="15"/>
        <v>0</v>
      </c>
      <c r="I101" s="344">
        <f t="shared" si="16"/>
        <v>0</v>
      </c>
      <c r="J101" s="162">
        <f t="shared" si="17"/>
        <v>0</v>
      </c>
      <c r="K101" s="162"/>
      <c r="L101" s="335"/>
      <c r="M101" s="162">
        <f t="shared" si="12"/>
        <v>0</v>
      </c>
      <c r="N101" s="335"/>
      <c r="O101" s="162">
        <f t="shared" si="13"/>
        <v>0</v>
      </c>
      <c r="P101" s="162">
        <f t="shared" si="14"/>
        <v>0</v>
      </c>
    </row>
    <row r="102" spans="1:16">
      <c r="B102" s="9" t="str">
        <f t="shared" si="18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9"/>
        <v>0</v>
      </c>
      <c r="F102" s="163">
        <f t="shared" si="20"/>
        <v>0</v>
      </c>
      <c r="G102" s="163">
        <f t="shared" si="21"/>
        <v>0</v>
      </c>
      <c r="H102" s="333">
        <f t="shared" si="15"/>
        <v>0</v>
      </c>
      <c r="I102" s="344">
        <f t="shared" si="16"/>
        <v>0</v>
      </c>
      <c r="J102" s="162">
        <f t="shared" si="17"/>
        <v>0</v>
      </c>
      <c r="K102" s="162"/>
      <c r="L102" s="335"/>
      <c r="M102" s="162">
        <f t="shared" si="12"/>
        <v>0</v>
      </c>
      <c r="N102" s="335"/>
      <c r="O102" s="162">
        <f t="shared" si="13"/>
        <v>0</v>
      </c>
      <c r="P102" s="162">
        <f t="shared" si="14"/>
        <v>0</v>
      </c>
    </row>
    <row r="103" spans="1:16">
      <c r="B103" s="9" t="str">
        <f t="shared" si="18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9"/>
        <v>0</v>
      </c>
      <c r="F103" s="163">
        <f t="shared" si="20"/>
        <v>0</v>
      </c>
      <c r="G103" s="163">
        <f t="shared" si="21"/>
        <v>0</v>
      </c>
      <c r="H103" s="333">
        <f t="shared" si="15"/>
        <v>0</v>
      </c>
      <c r="I103" s="344">
        <f t="shared" si="16"/>
        <v>0</v>
      </c>
      <c r="J103" s="162">
        <f t="shared" si="17"/>
        <v>0</v>
      </c>
      <c r="K103" s="162"/>
      <c r="L103" s="335"/>
      <c r="M103" s="162">
        <f t="shared" si="12"/>
        <v>0</v>
      </c>
      <c r="N103" s="335"/>
      <c r="O103" s="162">
        <f t="shared" si="13"/>
        <v>0</v>
      </c>
      <c r="P103" s="162">
        <f t="shared" si="14"/>
        <v>0</v>
      </c>
    </row>
    <row r="104" spans="1:16">
      <c r="B104" s="9" t="str">
        <f t="shared" si="18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9"/>
        <v>0</v>
      </c>
      <c r="F104" s="163">
        <f t="shared" si="20"/>
        <v>0</v>
      </c>
      <c r="G104" s="163">
        <f t="shared" si="21"/>
        <v>0</v>
      </c>
      <c r="H104" s="333">
        <f t="shared" si="15"/>
        <v>0</v>
      </c>
      <c r="I104" s="344">
        <f t="shared" si="16"/>
        <v>0</v>
      </c>
      <c r="J104" s="162">
        <f t="shared" si="17"/>
        <v>0</v>
      </c>
      <c r="K104" s="162"/>
      <c r="L104" s="335"/>
      <c r="M104" s="162">
        <f t="shared" si="12"/>
        <v>0</v>
      </c>
      <c r="N104" s="335"/>
      <c r="O104" s="162">
        <f t="shared" si="13"/>
        <v>0</v>
      </c>
      <c r="P104" s="162">
        <f t="shared" si="14"/>
        <v>0</v>
      </c>
    </row>
    <row r="105" spans="1:16">
      <c r="B105" s="9" t="str">
        <f t="shared" si="18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9"/>
        <v>0</v>
      </c>
      <c r="F105" s="163">
        <f t="shared" si="20"/>
        <v>0</v>
      </c>
      <c r="G105" s="163">
        <f t="shared" si="21"/>
        <v>0</v>
      </c>
      <c r="H105" s="333">
        <f t="shared" si="15"/>
        <v>0</v>
      </c>
      <c r="I105" s="344">
        <f t="shared" si="16"/>
        <v>0</v>
      </c>
      <c r="J105" s="162">
        <f t="shared" si="17"/>
        <v>0</v>
      </c>
      <c r="K105" s="162"/>
      <c r="L105" s="335"/>
      <c r="M105" s="162">
        <f t="shared" si="12"/>
        <v>0</v>
      </c>
      <c r="N105" s="335"/>
      <c r="O105" s="162">
        <f t="shared" si="13"/>
        <v>0</v>
      </c>
      <c r="P105" s="162">
        <f t="shared" si="14"/>
        <v>0</v>
      </c>
    </row>
    <row r="106" spans="1:16">
      <c r="B106" s="9" t="str">
        <f t="shared" si="18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9"/>
        <v>0</v>
      </c>
      <c r="F106" s="163">
        <f t="shared" si="20"/>
        <v>0</v>
      </c>
      <c r="G106" s="163">
        <f t="shared" si="21"/>
        <v>0</v>
      </c>
      <c r="H106" s="333">
        <f t="shared" si="15"/>
        <v>0</v>
      </c>
      <c r="I106" s="344">
        <f t="shared" si="16"/>
        <v>0</v>
      </c>
      <c r="J106" s="162">
        <f t="shared" si="17"/>
        <v>0</v>
      </c>
      <c r="K106" s="162"/>
      <c r="L106" s="335"/>
      <c r="M106" s="162">
        <f t="shared" si="12"/>
        <v>0</v>
      </c>
      <c r="N106" s="335"/>
      <c r="O106" s="162">
        <f t="shared" si="13"/>
        <v>0</v>
      </c>
      <c r="P106" s="162">
        <f t="shared" si="14"/>
        <v>0</v>
      </c>
    </row>
    <row r="107" spans="1:16">
      <c r="B107" s="9" t="str">
        <f t="shared" si="18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9"/>
        <v>0</v>
      </c>
      <c r="F107" s="163">
        <f t="shared" si="20"/>
        <v>0</v>
      </c>
      <c r="G107" s="163">
        <f t="shared" si="21"/>
        <v>0</v>
      </c>
      <c r="H107" s="333">
        <f t="shared" si="15"/>
        <v>0</v>
      </c>
      <c r="I107" s="344">
        <f t="shared" si="16"/>
        <v>0</v>
      </c>
      <c r="J107" s="162">
        <f t="shared" si="17"/>
        <v>0</v>
      </c>
      <c r="K107" s="162"/>
      <c r="L107" s="335"/>
      <c r="M107" s="162">
        <f t="shared" si="12"/>
        <v>0</v>
      </c>
      <c r="N107" s="335"/>
      <c r="O107" s="162">
        <f t="shared" si="13"/>
        <v>0</v>
      </c>
      <c r="P107" s="162">
        <f t="shared" si="14"/>
        <v>0</v>
      </c>
    </row>
    <row r="108" spans="1:16">
      <c r="B108" s="9" t="str">
        <f t="shared" si="18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9"/>
        <v>0</v>
      </c>
      <c r="F108" s="163">
        <f t="shared" si="20"/>
        <v>0</v>
      </c>
      <c r="G108" s="163">
        <f t="shared" si="21"/>
        <v>0</v>
      </c>
      <c r="H108" s="333">
        <f t="shared" si="15"/>
        <v>0</v>
      </c>
      <c r="I108" s="344">
        <f t="shared" si="16"/>
        <v>0</v>
      </c>
      <c r="J108" s="162">
        <f t="shared" si="17"/>
        <v>0</v>
      </c>
      <c r="K108" s="162"/>
      <c r="L108" s="335"/>
      <c r="M108" s="162">
        <f t="shared" si="12"/>
        <v>0</v>
      </c>
      <c r="N108" s="335"/>
      <c r="O108" s="162">
        <f t="shared" si="13"/>
        <v>0</v>
      </c>
      <c r="P108" s="162">
        <f t="shared" si="14"/>
        <v>0</v>
      </c>
    </row>
    <row r="109" spans="1:16">
      <c r="B109" s="9" t="str">
        <f t="shared" si="18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9"/>
        <v>0</v>
      </c>
      <c r="F109" s="163">
        <f t="shared" si="20"/>
        <v>0</v>
      </c>
      <c r="G109" s="163">
        <f t="shared" si="21"/>
        <v>0</v>
      </c>
      <c r="H109" s="333">
        <f t="shared" si="15"/>
        <v>0</v>
      </c>
      <c r="I109" s="344">
        <f t="shared" si="16"/>
        <v>0</v>
      </c>
      <c r="J109" s="162">
        <f t="shared" si="17"/>
        <v>0</v>
      </c>
      <c r="K109" s="162"/>
      <c r="L109" s="335"/>
      <c r="M109" s="162">
        <f t="shared" si="12"/>
        <v>0</v>
      </c>
      <c r="N109" s="335"/>
      <c r="O109" s="162">
        <f t="shared" si="13"/>
        <v>0</v>
      </c>
      <c r="P109" s="162">
        <f t="shared" si="14"/>
        <v>0</v>
      </c>
    </row>
    <row r="110" spans="1:16">
      <c r="B110" s="9" t="str">
        <f t="shared" si="18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9"/>
        <v>0</v>
      </c>
      <c r="F110" s="163">
        <f t="shared" si="20"/>
        <v>0</v>
      </c>
      <c r="G110" s="163">
        <f t="shared" si="21"/>
        <v>0</v>
      </c>
      <c r="H110" s="333">
        <f t="shared" si="15"/>
        <v>0</v>
      </c>
      <c r="I110" s="344">
        <f t="shared" si="16"/>
        <v>0</v>
      </c>
      <c r="J110" s="162">
        <f t="shared" si="17"/>
        <v>0</v>
      </c>
      <c r="K110" s="162"/>
      <c r="L110" s="335"/>
      <c r="M110" s="162">
        <f t="shared" si="12"/>
        <v>0</v>
      </c>
      <c r="N110" s="335"/>
      <c r="O110" s="162">
        <f t="shared" si="13"/>
        <v>0</v>
      </c>
      <c r="P110" s="162">
        <f t="shared" si="14"/>
        <v>0</v>
      </c>
    </row>
    <row r="111" spans="1:16">
      <c r="B111" s="9" t="str">
        <f t="shared" si="18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9"/>
        <v>0</v>
      </c>
      <c r="F111" s="163">
        <f t="shared" si="20"/>
        <v>0</v>
      </c>
      <c r="G111" s="163">
        <f t="shared" si="21"/>
        <v>0</v>
      </c>
      <c r="H111" s="333">
        <f t="shared" si="15"/>
        <v>0</v>
      </c>
      <c r="I111" s="344">
        <f t="shared" si="16"/>
        <v>0</v>
      </c>
      <c r="J111" s="162">
        <f t="shared" si="17"/>
        <v>0</v>
      </c>
      <c r="K111" s="162"/>
      <c r="L111" s="335"/>
      <c r="M111" s="162">
        <f t="shared" si="12"/>
        <v>0</v>
      </c>
      <c r="N111" s="335"/>
      <c r="O111" s="162">
        <f t="shared" si="13"/>
        <v>0</v>
      </c>
      <c r="P111" s="162">
        <f t="shared" si="14"/>
        <v>0</v>
      </c>
    </row>
    <row r="112" spans="1:16">
      <c r="B112" s="9" t="str">
        <f t="shared" si="18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9"/>
        <v>0</v>
      </c>
      <c r="F112" s="163">
        <f t="shared" si="20"/>
        <v>0</v>
      </c>
      <c r="G112" s="163">
        <f t="shared" si="21"/>
        <v>0</v>
      </c>
      <c r="H112" s="333">
        <f t="shared" si="15"/>
        <v>0</v>
      </c>
      <c r="I112" s="344">
        <f t="shared" si="16"/>
        <v>0</v>
      </c>
      <c r="J112" s="162">
        <f t="shared" si="17"/>
        <v>0</v>
      </c>
      <c r="K112" s="162"/>
      <c r="L112" s="335"/>
      <c r="M112" s="162">
        <f t="shared" si="12"/>
        <v>0</v>
      </c>
      <c r="N112" s="335"/>
      <c r="O112" s="162">
        <f t="shared" si="13"/>
        <v>0</v>
      </c>
      <c r="P112" s="162">
        <f t="shared" si="14"/>
        <v>0</v>
      </c>
    </row>
    <row r="113" spans="2:16">
      <c r="B113" s="9" t="str">
        <f t="shared" si="18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9"/>
        <v>0</v>
      </c>
      <c r="F113" s="163">
        <f t="shared" si="20"/>
        <v>0</v>
      </c>
      <c r="G113" s="163">
        <f t="shared" si="21"/>
        <v>0</v>
      </c>
      <c r="H113" s="333">
        <f t="shared" si="15"/>
        <v>0</v>
      </c>
      <c r="I113" s="344">
        <f t="shared" si="16"/>
        <v>0</v>
      </c>
      <c r="J113" s="162">
        <f t="shared" si="17"/>
        <v>0</v>
      </c>
      <c r="K113" s="162"/>
      <c r="L113" s="335"/>
      <c r="M113" s="162">
        <f t="shared" si="12"/>
        <v>0</v>
      </c>
      <c r="N113" s="335"/>
      <c r="O113" s="162">
        <f t="shared" si="13"/>
        <v>0</v>
      </c>
      <c r="P113" s="162">
        <f t="shared" si="14"/>
        <v>0</v>
      </c>
    </row>
    <row r="114" spans="2:16">
      <c r="B114" s="9" t="str">
        <f t="shared" si="18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9"/>
        <v>0</v>
      </c>
      <c r="F114" s="163">
        <f t="shared" si="20"/>
        <v>0</v>
      </c>
      <c r="G114" s="163">
        <f t="shared" si="21"/>
        <v>0</v>
      </c>
      <c r="H114" s="333">
        <f t="shared" si="15"/>
        <v>0</v>
      </c>
      <c r="I114" s="344">
        <f t="shared" si="16"/>
        <v>0</v>
      </c>
      <c r="J114" s="162">
        <f t="shared" si="17"/>
        <v>0</v>
      </c>
      <c r="K114" s="162"/>
      <c r="L114" s="335"/>
      <c r="M114" s="162">
        <f t="shared" si="12"/>
        <v>0</v>
      </c>
      <c r="N114" s="335"/>
      <c r="O114" s="162">
        <f t="shared" si="13"/>
        <v>0</v>
      </c>
      <c r="P114" s="162">
        <f t="shared" si="14"/>
        <v>0</v>
      </c>
    </row>
    <row r="115" spans="2:16">
      <c r="B115" s="9" t="str">
        <f t="shared" si="18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9"/>
        <v>0</v>
      </c>
      <c r="F115" s="163">
        <f t="shared" si="20"/>
        <v>0</v>
      </c>
      <c r="G115" s="163">
        <f t="shared" si="21"/>
        <v>0</v>
      </c>
      <c r="H115" s="333">
        <f t="shared" si="15"/>
        <v>0</v>
      </c>
      <c r="I115" s="344">
        <f t="shared" si="16"/>
        <v>0</v>
      </c>
      <c r="J115" s="162">
        <f t="shared" si="17"/>
        <v>0</v>
      </c>
      <c r="K115" s="162"/>
      <c r="L115" s="335"/>
      <c r="M115" s="162">
        <f t="shared" si="12"/>
        <v>0</v>
      </c>
      <c r="N115" s="335"/>
      <c r="O115" s="162">
        <f t="shared" si="13"/>
        <v>0</v>
      </c>
      <c r="P115" s="162">
        <f t="shared" si="14"/>
        <v>0</v>
      </c>
    </row>
    <row r="116" spans="2:16">
      <c r="B116" s="9" t="str">
        <f t="shared" si="18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9"/>
        <v>0</v>
      </c>
      <c r="F116" s="163">
        <f t="shared" si="20"/>
        <v>0</v>
      </c>
      <c r="G116" s="163">
        <f t="shared" si="21"/>
        <v>0</v>
      </c>
      <c r="H116" s="333">
        <f t="shared" si="15"/>
        <v>0</v>
      </c>
      <c r="I116" s="344">
        <f t="shared" si="16"/>
        <v>0</v>
      </c>
      <c r="J116" s="162">
        <f t="shared" si="17"/>
        <v>0</v>
      </c>
      <c r="K116" s="162"/>
      <c r="L116" s="335"/>
      <c r="M116" s="162">
        <f t="shared" si="12"/>
        <v>0</v>
      </c>
      <c r="N116" s="335"/>
      <c r="O116" s="162">
        <f t="shared" si="13"/>
        <v>0</v>
      </c>
      <c r="P116" s="162">
        <f t="shared" si="14"/>
        <v>0</v>
      </c>
    </row>
    <row r="117" spans="2:16">
      <c r="B117" s="9" t="str">
        <f t="shared" si="18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9"/>
        <v>0</v>
      </c>
      <c r="F117" s="163">
        <f t="shared" si="20"/>
        <v>0</v>
      </c>
      <c r="G117" s="163">
        <f t="shared" si="21"/>
        <v>0</v>
      </c>
      <c r="H117" s="333">
        <f t="shared" si="15"/>
        <v>0</v>
      </c>
      <c r="I117" s="344">
        <f t="shared" si="16"/>
        <v>0</v>
      </c>
      <c r="J117" s="162">
        <f t="shared" si="17"/>
        <v>0</v>
      </c>
      <c r="K117" s="162"/>
      <c r="L117" s="335"/>
      <c r="M117" s="162">
        <f t="shared" si="12"/>
        <v>0</v>
      </c>
      <c r="N117" s="335"/>
      <c r="O117" s="162">
        <f t="shared" si="13"/>
        <v>0</v>
      </c>
      <c r="P117" s="162">
        <f t="shared" si="14"/>
        <v>0</v>
      </c>
    </row>
    <row r="118" spans="2:16">
      <c r="B118" s="9" t="str">
        <f t="shared" si="18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9"/>
        <v>0</v>
      </c>
      <c r="F118" s="163">
        <f t="shared" si="20"/>
        <v>0</v>
      </c>
      <c r="G118" s="163">
        <f t="shared" si="21"/>
        <v>0</v>
      </c>
      <c r="H118" s="333">
        <f t="shared" si="15"/>
        <v>0</v>
      </c>
      <c r="I118" s="344">
        <f t="shared" si="16"/>
        <v>0</v>
      </c>
      <c r="J118" s="162">
        <f t="shared" si="17"/>
        <v>0</v>
      </c>
      <c r="K118" s="162"/>
      <c r="L118" s="335"/>
      <c r="M118" s="162">
        <f t="shared" si="12"/>
        <v>0</v>
      </c>
      <c r="N118" s="335"/>
      <c r="O118" s="162">
        <f t="shared" si="13"/>
        <v>0</v>
      </c>
      <c r="P118" s="162">
        <f t="shared" si="14"/>
        <v>0</v>
      </c>
    </row>
    <row r="119" spans="2:16">
      <c r="B119" s="9" t="str">
        <f t="shared" si="18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9"/>
        <v>0</v>
      </c>
      <c r="F119" s="163">
        <f t="shared" si="20"/>
        <v>0</v>
      </c>
      <c r="G119" s="163">
        <f t="shared" si="21"/>
        <v>0</v>
      </c>
      <c r="H119" s="333">
        <f t="shared" si="15"/>
        <v>0</v>
      </c>
      <c r="I119" s="344">
        <f t="shared" si="16"/>
        <v>0</v>
      </c>
      <c r="J119" s="162">
        <f t="shared" si="17"/>
        <v>0</v>
      </c>
      <c r="K119" s="162"/>
      <c r="L119" s="335"/>
      <c r="M119" s="162">
        <f t="shared" si="12"/>
        <v>0</v>
      </c>
      <c r="N119" s="335"/>
      <c r="O119" s="162">
        <f t="shared" si="13"/>
        <v>0</v>
      </c>
      <c r="P119" s="162">
        <f t="shared" si="14"/>
        <v>0</v>
      </c>
    </row>
    <row r="120" spans="2:16">
      <c r="B120" s="9" t="str">
        <f t="shared" si="18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9"/>
        <v>0</v>
      </c>
      <c r="F120" s="163">
        <f t="shared" si="20"/>
        <v>0</v>
      </c>
      <c r="G120" s="163">
        <f t="shared" si="21"/>
        <v>0</v>
      </c>
      <c r="H120" s="333">
        <f t="shared" si="15"/>
        <v>0</v>
      </c>
      <c r="I120" s="344">
        <f t="shared" si="16"/>
        <v>0</v>
      </c>
      <c r="J120" s="162">
        <f t="shared" si="17"/>
        <v>0</v>
      </c>
      <c r="K120" s="162"/>
      <c r="L120" s="335"/>
      <c r="M120" s="162">
        <f t="shared" si="12"/>
        <v>0</v>
      </c>
      <c r="N120" s="335"/>
      <c r="O120" s="162">
        <f t="shared" si="13"/>
        <v>0</v>
      </c>
      <c r="P120" s="162">
        <f t="shared" si="14"/>
        <v>0</v>
      </c>
    </row>
    <row r="121" spans="2:16">
      <c r="B121" s="9" t="str">
        <f t="shared" si="18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9"/>
        <v>0</v>
      </c>
      <c r="F121" s="163">
        <f t="shared" si="20"/>
        <v>0</v>
      </c>
      <c r="G121" s="163">
        <f t="shared" si="21"/>
        <v>0</v>
      </c>
      <c r="H121" s="333">
        <f t="shared" si="15"/>
        <v>0</v>
      </c>
      <c r="I121" s="344">
        <f t="shared" si="16"/>
        <v>0</v>
      </c>
      <c r="J121" s="162">
        <f t="shared" si="17"/>
        <v>0</v>
      </c>
      <c r="K121" s="162"/>
      <c r="L121" s="335"/>
      <c r="M121" s="162">
        <f t="shared" si="12"/>
        <v>0</v>
      </c>
      <c r="N121" s="335"/>
      <c r="O121" s="162">
        <f t="shared" si="13"/>
        <v>0</v>
      </c>
      <c r="P121" s="162">
        <f t="shared" si="14"/>
        <v>0</v>
      </c>
    </row>
    <row r="122" spans="2:16">
      <c r="B122" s="9" t="str">
        <f t="shared" si="18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9"/>
        <v>0</v>
      </c>
      <c r="F122" s="163">
        <f t="shared" si="20"/>
        <v>0</v>
      </c>
      <c r="G122" s="163">
        <f t="shared" si="21"/>
        <v>0</v>
      </c>
      <c r="H122" s="333">
        <f t="shared" si="15"/>
        <v>0</v>
      </c>
      <c r="I122" s="344">
        <f t="shared" si="16"/>
        <v>0</v>
      </c>
      <c r="J122" s="162">
        <f t="shared" si="17"/>
        <v>0</v>
      </c>
      <c r="K122" s="162"/>
      <c r="L122" s="335"/>
      <c r="M122" s="162">
        <f t="shared" si="12"/>
        <v>0</v>
      </c>
      <c r="N122" s="335"/>
      <c r="O122" s="162">
        <f t="shared" si="13"/>
        <v>0</v>
      </c>
      <c r="P122" s="162">
        <f t="shared" si="14"/>
        <v>0</v>
      </c>
    </row>
    <row r="123" spans="2:16">
      <c r="B123" s="9" t="str">
        <f t="shared" si="18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9"/>
        <v>0</v>
      </c>
      <c r="F123" s="163">
        <f t="shared" si="20"/>
        <v>0</v>
      </c>
      <c r="G123" s="163">
        <f t="shared" si="21"/>
        <v>0</v>
      </c>
      <c r="H123" s="333">
        <f t="shared" si="15"/>
        <v>0</v>
      </c>
      <c r="I123" s="344">
        <f t="shared" si="16"/>
        <v>0</v>
      </c>
      <c r="J123" s="162">
        <f t="shared" si="17"/>
        <v>0</v>
      </c>
      <c r="K123" s="162"/>
      <c r="L123" s="335"/>
      <c r="M123" s="162">
        <f t="shared" si="12"/>
        <v>0</v>
      </c>
      <c r="N123" s="335"/>
      <c r="O123" s="162">
        <f t="shared" si="13"/>
        <v>0</v>
      </c>
      <c r="P123" s="162">
        <f t="shared" si="14"/>
        <v>0</v>
      </c>
    </row>
    <row r="124" spans="2:16">
      <c r="B124" s="9" t="str">
        <f t="shared" si="18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9"/>
        <v>0</v>
      </c>
      <c r="F124" s="163">
        <f t="shared" si="20"/>
        <v>0</v>
      </c>
      <c r="G124" s="163">
        <f t="shared" si="21"/>
        <v>0</v>
      </c>
      <c r="H124" s="333">
        <f t="shared" si="15"/>
        <v>0</v>
      </c>
      <c r="I124" s="344">
        <f t="shared" si="16"/>
        <v>0</v>
      </c>
      <c r="J124" s="162">
        <f t="shared" si="17"/>
        <v>0</v>
      </c>
      <c r="K124" s="162"/>
      <c r="L124" s="335"/>
      <c r="M124" s="162">
        <f t="shared" si="12"/>
        <v>0</v>
      </c>
      <c r="N124" s="335"/>
      <c r="O124" s="162">
        <f t="shared" si="13"/>
        <v>0</v>
      </c>
      <c r="P124" s="162">
        <f t="shared" si="14"/>
        <v>0</v>
      </c>
    </row>
    <row r="125" spans="2:16">
      <c r="B125" s="9" t="str">
        <f t="shared" si="18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9"/>
        <v>0</v>
      </c>
      <c r="F125" s="163">
        <f t="shared" si="20"/>
        <v>0</v>
      </c>
      <c r="G125" s="163">
        <f t="shared" si="21"/>
        <v>0</v>
      </c>
      <c r="H125" s="333">
        <f t="shared" si="15"/>
        <v>0</v>
      </c>
      <c r="I125" s="344">
        <f t="shared" si="16"/>
        <v>0</v>
      </c>
      <c r="J125" s="162">
        <f t="shared" si="17"/>
        <v>0</v>
      </c>
      <c r="K125" s="162"/>
      <c r="L125" s="335"/>
      <c r="M125" s="162">
        <f t="shared" si="12"/>
        <v>0</v>
      </c>
      <c r="N125" s="335"/>
      <c r="O125" s="162">
        <f t="shared" si="13"/>
        <v>0</v>
      </c>
      <c r="P125" s="162">
        <f t="shared" si="14"/>
        <v>0</v>
      </c>
    </row>
    <row r="126" spans="2:16">
      <c r="B126" s="9" t="str">
        <f t="shared" si="18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9"/>
        <v>0</v>
      </c>
      <c r="F126" s="163">
        <f t="shared" si="20"/>
        <v>0</v>
      </c>
      <c r="G126" s="163">
        <f t="shared" si="21"/>
        <v>0</v>
      </c>
      <c r="H126" s="333">
        <f t="shared" si="15"/>
        <v>0</v>
      </c>
      <c r="I126" s="344">
        <f t="shared" si="16"/>
        <v>0</v>
      </c>
      <c r="J126" s="162">
        <f t="shared" si="17"/>
        <v>0</v>
      </c>
      <c r="K126" s="162"/>
      <c r="L126" s="335"/>
      <c r="M126" s="162">
        <f t="shared" si="12"/>
        <v>0</v>
      </c>
      <c r="N126" s="335"/>
      <c r="O126" s="162">
        <f t="shared" si="13"/>
        <v>0</v>
      </c>
      <c r="P126" s="162">
        <f t="shared" si="14"/>
        <v>0</v>
      </c>
    </row>
    <row r="127" spans="2:16">
      <c r="B127" s="9" t="str">
        <f t="shared" si="18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9"/>
        <v>0</v>
      </c>
      <c r="F127" s="163">
        <f t="shared" si="20"/>
        <v>0</v>
      </c>
      <c r="G127" s="163">
        <f t="shared" si="21"/>
        <v>0</v>
      </c>
      <c r="H127" s="333">
        <f t="shared" si="15"/>
        <v>0</v>
      </c>
      <c r="I127" s="344">
        <f t="shared" si="16"/>
        <v>0</v>
      </c>
      <c r="J127" s="162">
        <f t="shared" si="17"/>
        <v>0</v>
      </c>
      <c r="K127" s="162"/>
      <c r="L127" s="335"/>
      <c r="M127" s="162">
        <f t="shared" si="12"/>
        <v>0</v>
      </c>
      <c r="N127" s="335"/>
      <c r="O127" s="162">
        <f t="shared" si="13"/>
        <v>0</v>
      </c>
      <c r="P127" s="162">
        <f t="shared" si="14"/>
        <v>0</v>
      </c>
    </row>
    <row r="128" spans="2:16">
      <c r="B128" s="9" t="str">
        <f t="shared" si="18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9"/>
        <v>0</v>
      </c>
      <c r="F128" s="163">
        <f t="shared" si="20"/>
        <v>0</v>
      </c>
      <c r="G128" s="163">
        <f t="shared" si="21"/>
        <v>0</v>
      </c>
      <c r="H128" s="333">
        <f t="shared" si="15"/>
        <v>0</v>
      </c>
      <c r="I128" s="344">
        <f t="shared" si="16"/>
        <v>0</v>
      </c>
      <c r="J128" s="162">
        <f t="shared" si="17"/>
        <v>0</v>
      </c>
      <c r="K128" s="162"/>
      <c r="L128" s="335"/>
      <c r="M128" s="162">
        <f t="shared" si="12"/>
        <v>0</v>
      </c>
      <c r="N128" s="335"/>
      <c r="O128" s="162">
        <f t="shared" si="13"/>
        <v>0</v>
      </c>
      <c r="P128" s="162">
        <f t="shared" si="14"/>
        <v>0</v>
      </c>
    </row>
    <row r="129" spans="2:16">
      <c r="B129" s="9" t="str">
        <f t="shared" si="18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9"/>
        <v>0</v>
      </c>
      <c r="F129" s="163">
        <f t="shared" si="20"/>
        <v>0</v>
      </c>
      <c r="G129" s="163">
        <f t="shared" si="21"/>
        <v>0</v>
      </c>
      <c r="H129" s="333">
        <f t="shared" si="15"/>
        <v>0</v>
      </c>
      <c r="I129" s="344">
        <f t="shared" si="16"/>
        <v>0</v>
      </c>
      <c r="J129" s="162">
        <f t="shared" si="17"/>
        <v>0</v>
      </c>
      <c r="K129" s="162"/>
      <c r="L129" s="335"/>
      <c r="M129" s="162">
        <f t="shared" si="12"/>
        <v>0</v>
      </c>
      <c r="N129" s="335"/>
      <c r="O129" s="162">
        <f t="shared" si="13"/>
        <v>0</v>
      </c>
      <c r="P129" s="162">
        <f t="shared" si="14"/>
        <v>0</v>
      </c>
    </row>
    <row r="130" spans="2:16">
      <c r="B130" s="9" t="str">
        <f t="shared" si="18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9"/>
        <v>0</v>
      </c>
      <c r="F130" s="163">
        <f t="shared" si="20"/>
        <v>0</v>
      </c>
      <c r="G130" s="163">
        <f t="shared" si="21"/>
        <v>0</v>
      </c>
      <c r="H130" s="333">
        <f t="shared" si="15"/>
        <v>0</v>
      </c>
      <c r="I130" s="344">
        <f t="shared" si="16"/>
        <v>0</v>
      </c>
      <c r="J130" s="162">
        <f t="shared" si="17"/>
        <v>0</v>
      </c>
      <c r="K130" s="162"/>
      <c r="L130" s="335"/>
      <c r="M130" s="162">
        <f t="shared" si="12"/>
        <v>0</v>
      </c>
      <c r="N130" s="335"/>
      <c r="O130" s="162">
        <f t="shared" si="13"/>
        <v>0</v>
      </c>
      <c r="P130" s="162">
        <f t="shared" si="14"/>
        <v>0</v>
      </c>
    </row>
    <row r="131" spans="2:16">
      <c r="B131" s="9" t="str">
        <f t="shared" si="18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9"/>
        <v>0</v>
      </c>
      <c r="F131" s="163">
        <f t="shared" si="20"/>
        <v>0</v>
      </c>
      <c r="G131" s="163">
        <f t="shared" si="21"/>
        <v>0</v>
      </c>
      <c r="H131" s="333">
        <f t="shared" si="15"/>
        <v>0</v>
      </c>
      <c r="I131" s="344">
        <f t="shared" si="16"/>
        <v>0</v>
      </c>
      <c r="J131" s="162">
        <f t="shared" ref="J131:J154" si="22">+I541-H541</f>
        <v>0</v>
      </c>
      <c r="K131" s="162"/>
      <c r="L131" s="335"/>
      <c r="M131" s="162">
        <f t="shared" ref="M131:M154" si="23">IF(L541&lt;&gt;0,+H541-L541,0)</f>
        <v>0</v>
      </c>
      <c r="N131" s="335"/>
      <c r="O131" s="162">
        <f t="shared" ref="O131:O154" si="24">IF(N541&lt;&gt;0,+I541-N541,0)</f>
        <v>0</v>
      </c>
      <c r="P131" s="162">
        <f t="shared" ref="P131:P154" si="25">+O541-M541</f>
        <v>0</v>
      </c>
    </row>
    <row r="132" spans="2:16">
      <c r="B132" s="9" t="str">
        <f t="shared" si="18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9"/>
        <v>0</v>
      </c>
      <c r="F132" s="163">
        <f t="shared" si="20"/>
        <v>0</v>
      </c>
      <c r="G132" s="163">
        <f t="shared" si="21"/>
        <v>0</v>
      </c>
      <c r="H132" s="333">
        <f t="shared" si="15"/>
        <v>0</v>
      </c>
      <c r="I132" s="344">
        <f t="shared" si="16"/>
        <v>0</v>
      </c>
      <c r="J132" s="162">
        <f t="shared" si="22"/>
        <v>0</v>
      </c>
      <c r="K132" s="162"/>
      <c r="L132" s="335"/>
      <c r="M132" s="162">
        <f t="shared" si="23"/>
        <v>0</v>
      </c>
      <c r="N132" s="335"/>
      <c r="O132" s="162">
        <f t="shared" si="24"/>
        <v>0</v>
      </c>
      <c r="P132" s="162">
        <f t="shared" si="25"/>
        <v>0</v>
      </c>
    </row>
    <row r="133" spans="2:16">
      <c r="B133" s="9" t="str">
        <f t="shared" si="18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9"/>
        <v>0</v>
      </c>
      <c r="F133" s="163">
        <f t="shared" si="20"/>
        <v>0</v>
      </c>
      <c r="G133" s="163">
        <f t="shared" si="21"/>
        <v>0</v>
      </c>
      <c r="H133" s="333">
        <f t="shared" si="15"/>
        <v>0</v>
      </c>
      <c r="I133" s="344">
        <f t="shared" si="16"/>
        <v>0</v>
      </c>
      <c r="J133" s="162">
        <f t="shared" si="22"/>
        <v>0</v>
      </c>
      <c r="K133" s="162"/>
      <c r="L133" s="335"/>
      <c r="M133" s="162">
        <f t="shared" si="23"/>
        <v>0</v>
      </c>
      <c r="N133" s="335"/>
      <c r="O133" s="162">
        <f t="shared" si="24"/>
        <v>0</v>
      </c>
      <c r="P133" s="162">
        <f t="shared" si="25"/>
        <v>0</v>
      </c>
    </row>
    <row r="134" spans="2:16">
      <c r="B134" s="9" t="str">
        <f t="shared" si="18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9"/>
        <v>0</v>
      </c>
      <c r="F134" s="163">
        <f t="shared" si="20"/>
        <v>0</v>
      </c>
      <c r="G134" s="163">
        <f t="shared" si="21"/>
        <v>0</v>
      </c>
      <c r="H134" s="333">
        <f t="shared" si="15"/>
        <v>0</v>
      </c>
      <c r="I134" s="344">
        <f t="shared" si="16"/>
        <v>0</v>
      </c>
      <c r="J134" s="162">
        <f t="shared" si="22"/>
        <v>0</v>
      </c>
      <c r="K134" s="162"/>
      <c r="L134" s="335"/>
      <c r="M134" s="162">
        <f t="shared" si="23"/>
        <v>0</v>
      </c>
      <c r="N134" s="335"/>
      <c r="O134" s="162">
        <f t="shared" si="24"/>
        <v>0</v>
      </c>
      <c r="P134" s="162">
        <f t="shared" si="25"/>
        <v>0</v>
      </c>
    </row>
    <row r="135" spans="2:16">
      <c r="B135" s="9" t="str">
        <f t="shared" si="18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9"/>
        <v>0</v>
      </c>
      <c r="F135" s="163">
        <f t="shared" si="20"/>
        <v>0</v>
      </c>
      <c r="G135" s="163">
        <f t="shared" si="21"/>
        <v>0</v>
      </c>
      <c r="H135" s="333">
        <f t="shared" si="15"/>
        <v>0</v>
      </c>
      <c r="I135" s="344">
        <f t="shared" si="16"/>
        <v>0</v>
      </c>
      <c r="J135" s="162">
        <f t="shared" si="22"/>
        <v>0</v>
      </c>
      <c r="K135" s="162"/>
      <c r="L135" s="335"/>
      <c r="M135" s="162">
        <f t="shared" si="23"/>
        <v>0</v>
      </c>
      <c r="N135" s="335"/>
      <c r="O135" s="162">
        <f t="shared" si="24"/>
        <v>0</v>
      </c>
      <c r="P135" s="162">
        <f t="shared" si="25"/>
        <v>0</v>
      </c>
    </row>
    <row r="136" spans="2:16">
      <c r="B136" s="9" t="str">
        <f t="shared" si="18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9"/>
        <v>0</v>
      </c>
      <c r="F136" s="163">
        <f t="shared" si="20"/>
        <v>0</v>
      </c>
      <c r="G136" s="163">
        <f t="shared" si="21"/>
        <v>0</v>
      </c>
      <c r="H136" s="333">
        <f t="shared" si="15"/>
        <v>0</v>
      </c>
      <c r="I136" s="344">
        <f t="shared" si="16"/>
        <v>0</v>
      </c>
      <c r="J136" s="162">
        <f t="shared" si="22"/>
        <v>0</v>
      </c>
      <c r="K136" s="162"/>
      <c r="L136" s="335"/>
      <c r="M136" s="162">
        <f t="shared" si="23"/>
        <v>0</v>
      </c>
      <c r="N136" s="335"/>
      <c r="O136" s="162">
        <f t="shared" si="24"/>
        <v>0</v>
      </c>
      <c r="P136" s="162">
        <f t="shared" si="25"/>
        <v>0</v>
      </c>
    </row>
    <row r="137" spans="2:16">
      <c r="B137" s="9" t="str">
        <f t="shared" si="18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9"/>
        <v>0</v>
      </c>
      <c r="F137" s="163">
        <f t="shared" si="20"/>
        <v>0</v>
      </c>
      <c r="G137" s="163">
        <f t="shared" si="21"/>
        <v>0</v>
      </c>
      <c r="H137" s="333">
        <f t="shared" si="15"/>
        <v>0</v>
      </c>
      <c r="I137" s="344">
        <f t="shared" si="16"/>
        <v>0</v>
      </c>
      <c r="J137" s="162">
        <f t="shared" si="22"/>
        <v>0</v>
      </c>
      <c r="K137" s="162"/>
      <c r="L137" s="335"/>
      <c r="M137" s="162">
        <f t="shared" si="23"/>
        <v>0</v>
      </c>
      <c r="N137" s="335"/>
      <c r="O137" s="162">
        <f t="shared" si="24"/>
        <v>0</v>
      </c>
      <c r="P137" s="162">
        <f t="shared" si="25"/>
        <v>0</v>
      </c>
    </row>
    <row r="138" spans="2:16">
      <c r="B138" s="9" t="str">
        <f t="shared" si="18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9"/>
        <v>0</v>
      </c>
      <c r="F138" s="163">
        <f t="shared" si="20"/>
        <v>0</v>
      </c>
      <c r="G138" s="163">
        <f t="shared" si="21"/>
        <v>0</v>
      </c>
      <c r="H138" s="333">
        <f t="shared" si="15"/>
        <v>0</v>
      </c>
      <c r="I138" s="344">
        <f t="shared" si="16"/>
        <v>0</v>
      </c>
      <c r="J138" s="162">
        <f t="shared" si="22"/>
        <v>0</v>
      </c>
      <c r="K138" s="162"/>
      <c r="L138" s="335"/>
      <c r="M138" s="162">
        <f t="shared" si="23"/>
        <v>0</v>
      </c>
      <c r="N138" s="335"/>
      <c r="O138" s="162">
        <f t="shared" si="24"/>
        <v>0</v>
      </c>
      <c r="P138" s="162">
        <f t="shared" si="25"/>
        <v>0</v>
      </c>
    </row>
    <row r="139" spans="2:16">
      <c r="B139" s="9" t="str">
        <f t="shared" si="18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9"/>
        <v>0</v>
      </c>
      <c r="F139" s="163">
        <f t="shared" si="20"/>
        <v>0</v>
      </c>
      <c r="G139" s="163">
        <f t="shared" si="21"/>
        <v>0</v>
      </c>
      <c r="H139" s="333">
        <f t="shared" si="15"/>
        <v>0</v>
      </c>
      <c r="I139" s="344">
        <f t="shared" si="16"/>
        <v>0</v>
      </c>
      <c r="J139" s="162">
        <f t="shared" si="22"/>
        <v>0</v>
      </c>
      <c r="K139" s="162"/>
      <c r="L139" s="335"/>
      <c r="M139" s="162">
        <f t="shared" si="23"/>
        <v>0</v>
      </c>
      <c r="N139" s="335"/>
      <c r="O139" s="162">
        <f t="shared" si="24"/>
        <v>0</v>
      </c>
      <c r="P139" s="162">
        <f t="shared" si="25"/>
        <v>0</v>
      </c>
    </row>
    <row r="140" spans="2:16">
      <c r="B140" s="9" t="str">
        <f t="shared" si="18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9"/>
        <v>0</v>
      </c>
      <c r="F140" s="163">
        <f t="shared" si="20"/>
        <v>0</v>
      </c>
      <c r="G140" s="163">
        <f t="shared" si="21"/>
        <v>0</v>
      </c>
      <c r="H140" s="333">
        <f t="shared" si="15"/>
        <v>0</v>
      </c>
      <c r="I140" s="344">
        <f t="shared" si="16"/>
        <v>0</v>
      </c>
      <c r="J140" s="162">
        <f t="shared" si="22"/>
        <v>0</v>
      </c>
      <c r="K140" s="162"/>
      <c r="L140" s="335"/>
      <c r="M140" s="162">
        <f t="shared" si="23"/>
        <v>0</v>
      </c>
      <c r="N140" s="335"/>
      <c r="O140" s="162">
        <f t="shared" si="24"/>
        <v>0</v>
      </c>
      <c r="P140" s="162">
        <f t="shared" si="25"/>
        <v>0</v>
      </c>
    </row>
    <row r="141" spans="2:16">
      <c r="B141" s="9" t="str">
        <f t="shared" si="18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9"/>
        <v>0</v>
      </c>
      <c r="F141" s="163">
        <f t="shared" si="20"/>
        <v>0</v>
      </c>
      <c r="G141" s="163">
        <f t="shared" si="21"/>
        <v>0</v>
      </c>
      <c r="H141" s="333">
        <f t="shared" si="15"/>
        <v>0</v>
      </c>
      <c r="I141" s="344">
        <f t="shared" si="16"/>
        <v>0</v>
      </c>
      <c r="J141" s="162">
        <f t="shared" si="22"/>
        <v>0</v>
      </c>
      <c r="K141" s="162"/>
      <c r="L141" s="335"/>
      <c r="M141" s="162">
        <f t="shared" si="23"/>
        <v>0</v>
      </c>
      <c r="N141" s="335"/>
      <c r="O141" s="162">
        <f t="shared" si="24"/>
        <v>0</v>
      </c>
      <c r="P141" s="162">
        <f t="shared" si="25"/>
        <v>0</v>
      </c>
    </row>
    <row r="142" spans="2:16">
      <c r="B142" s="9" t="str">
        <f t="shared" si="18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9"/>
        <v>0</v>
      </c>
      <c r="F142" s="163">
        <f t="shared" si="20"/>
        <v>0</v>
      </c>
      <c r="G142" s="163">
        <f t="shared" si="21"/>
        <v>0</v>
      </c>
      <c r="H142" s="333">
        <f t="shared" si="15"/>
        <v>0</v>
      </c>
      <c r="I142" s="344">
        <f t="shared" si="16"/>
        <v>0</v>
      </c>
      <c r="J142" s="162">
        <f t="shared" si="22"/>
        <v>0</v>
      </c>
      <c r="K142" s="162"/>
      <c r="L142" s="335"/>
      <c r="M142" s="162">
        <f t="shared" si="23"/>
        <v>0</v>
      </c>
      <c r="N142" s="335"/>
      <c r="O142" s="162">
        <f t="shared" si="24"/>
        <v>0</v>
      </c>
      <c r="P142" s="162">
        <f t="shared" si="25"/>
        <v>0</v>
      </c>
    </row>
    <row r="143" spans="2:16">
      <c r="B143" s="9" t="str">
        <f t="shared" si="18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9"/>
        <v>0</v>
      </c>
      <c r="F143" s="163">
        <f t="shared" si="20"/>
        <v>0</v>
      </c>
      <c r="G143" s="163">
        <f t="shared" si="21"/>
        <v>0</v>
      </c>
      <c r="H143" s="333">
        <f t="shared" si="15"/>
        <v>0</v>
      </c>
      <c r="I143" s="344">
        <f t="shared" si="16"/>
        <v>0</v>
      </c>
      <c r="J143" s="162">
        <f t="shared" si="22"/>
        <v>0</v>
      </c>
      <c r="K143" s="162"/>
      <c r="L143" s="335"/>
      <c r="M143" s="162">
        <f t="shared" si="23"/>
        <v>0</v>
      </c>
      <c r="N143" s="335"/>
      <c r="O143" s="162">
        <f t="shared" si="24"/>
        <v>0</v>
      </c>
      <c r="P143" s="162">
        <f t="shared" si="25"/>
        <v>0</v>
      </c>
    </row>
    <row r="144" spans="2:16">
      <c r="B144" s="9" t="str">
        <f t="shared" si="18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9"/>
        <v>0</v>
      </c>
      <c r="F144" s="163">
        <f t="shared" si="20"/>
        <v>0</v>
      </c>
      <c r="G144" s="163">
        <f t="shared" si="21"/>
        <v>0</v>
      </c>
      <c r="H144" s="333">
        <f t="shared" si="15"/>
        <v>0</v>
      </c>
      <c r="I144" s="344">
        <f t="shared" si="16"/>
        <v>0</v>
      </c>
      <c r="J144" s="162">
        <f t="shared" si="22"/>
        <v>0</v>
      </c>
      <c r="K144" s="162"/>
      <c r="L144" s="335"/>
      <c r="M144" s="162">
        <f t="shared" si="23"/>
        <v>0</v>
      </c>
      <c r="N144" s="335"/>
      <c r="O144" s="162">
        <f t="shared" si="24"/>
        <v>0</v>
      </c>
      <c r="P144" s="162">
        <f t="shared" si="25"/>
        <v>0</v>
      </c>
    </row>
    <row r="145" spans="2:16">
      <c r="B145" s="9" t="str">
        <f t="shared" si="18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9"/>
        <v>0</v>
      </c>
      <c r="F145" s="163">
        <f t="shared" si="20"/>
        <v>0</v>
      </c>
      <c r="G145" s="163">
        <f t="shared" si="21"/>
        <v>0</v>
      </c>
      <c r="H145" s="333">
        <f t="shared" si="15"/>
        <v>0</v>
      </c>
      <c r="I145" s="344">
        <f t="shared" si="16"/>
        <v>0</v>
      </c>
      <c r="J145" s="162">
        <f t="shared" si="22"/>
        <v>0</v>
      </c>
      <c r="K145" s="162"/>
      <c r="L145" s="335"/>
      <c r="M145" s="162">
        <f t="shared" si="23"/>
        <v>0</v>
      </c>
      <c r="N145" s="335"/>
      <c r="O145" s="162">
        <f t="shared" si="24"/>
        <v>0</v>
      </c>
      <c r="P145" s="162">
        <f t="shared" si="25"/>
        <v>0</v>
      </c>
    </row>
    <row r="146" spans="2:16">
      <c r="B146" s="9" t="str">
        <f t="shared" si="18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9"/>
        <v>0</v>
      </c>
      <c r="F146" s="163">
        <f t="shared" si="20"/>
        <v>0</v>
      </c>
      <c r="G146" s="163">
        <f t="shared" si="21"/>
        <v>0</v>
      </c>
      <c r="H146" s="333">
        <f t="shared" si="15"/>
        <v>0</v>
      </c>
      <c r="I146" s="344">
        <f t="shared" si="16"/>
        <v>0</v>
      </c>
      <c r="J146" s="162">
        <f t="shared" si="22"/>
        <v>0</v>
      </c>
      <c r="K146" s="162"/>
      <c r="L146" s="335"/>
      <c r="M146" s="162">
        <f t="shared" si="23"/>
        <v>0</v>
      </c>
      <c r="N146" s="335"/>
      <c r="O146" s="162">
        <f t="shared" si="24"/>
        <v>0</v>
      </c>
      <c r="P146" s="162">
        <f t="shared" si="25"/>
        <v>0</v>
      </c>
    </row>
    <row r="147" spans="2:16">
      <c r="B147" s="9" t="str">
        <f t="shared" si="18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9"/>
        <v>0</v>
      </c>
      <c r="F147" s="163">
        <f t="shared" si="20"/>
        <v>0</v>
      </c>
      <c r="G147" s="163">
        <f t="shared" si="21"/>
        <v>0</v>
      </c>
      <c r="H147" s="333">
        <f t="shared" si="15"/>
        <v>0</v>
      </c>
      <c r="I147" s="344">
        <f t="shared" si="16"/>
        <v>0</v>
      </c>
      <c r="J147" s="162">
        <f t="shared" si="22"/>
        <v>0</v>
      </c>
      <c r="K147" s="162"/>
      <c r="L147" s="335"/>
      <c r="M147" s="162">
        <f t="shared" si="23"/>
        <v>0</v>
      </c>
      <c r="N147" s="335"/>
      <c r="O147" s="162">
        <f t="shared" si="24"/>
        <v>0</v>
      </c>
      <c r="P147" s="162">
        <f t="shared" si="25"/>
        <v>0</v>
      </c>
    </row>
    <row r="148" spans="2:16">
      <c r="B148" s="9" t="str">
        <f t="shared" si="18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9"/>
        <v>0</v>
      </c>
      <c r="F148" s="163">
        <f t="shared" si="20"/>
        <v>0</v>
      </c>
      <c r="G148" s="163">
        <f t="shared" si="21"/>
        <v>0</v>
      </c>
      <c r="H148" s="333">
        <f t="shared" si="15"/>
        <v>0</v>
      </c>
      <c r="I148" s="344">
        <f t="shared" si="16"/>
        <v>0</v>
      </c>
      <c r="J148" s="162">
        <f t="shared" si="22"/>
        <v>0</v>
      </c>
      <c r="K148" s="162"/>
      <c r="L148" s="335"/>
      <c r="M148" s="162">
        <f t="shared" si="23"/>
        <v>0</v>
      </c>
      <c r="N148" s="335"/>
      <c r="O148" s="162">
        <f t="shared" si="24"/>
        <v>0</v>
      </c>
      <c r="P148" s="162">
        <f t="shared" si="25"/>
        <v>0</v>
      </c>
    </row>
    <row r="149" spans="2:16">
      <c r="B149" s="9" t="str">
        <f t="shared" si="18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9"/>
        <v>0</v>
      </c>
      <c r="F149" s="163">
        <f t="shared" si="20"/>
        <v>0</v>
      </c>
      <c r="G149" s="163">
        <f t="shared" si="21"/>
        <v>0</v>
      </c>
      <c r="H149" s="333">
        <f t="shared" si="15"/>
        <v>0</v>
      </c>
      <c r="I149" s="344">
        <f t="shared" si="16"/>
        <v>0</v>
      </c>
      <c r="J149" s="162">
        <f t="shared" si="22"/>
        <v>0</v>
      </c>
      <c r="K149" s="162"/>
      <c r="L149" s="335"/>
      <c r="M149" s="162">
        <f t="shared" si="23"/>
        <v>0</v>
      </c>
      <c r="N149" s="335"/>
      <c r="O149" s="162">
        <f t="shared" si="24"/>
        <v>0</v>
      </c>
      <c r="P149" s="162">
        <f t="shared" si="25"/>
        <v>0</v>
      </c>
    </row>
    <row r="150" spans="2:16">
      <c r="B150" s="9" t="str">
        <f t="shared" si="18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9"/>
        <v>0</v>
      </c>
      <c r="F150" s="163">
        <f t="shared" si="20"/>
        <v>0</v>
      </c>
      <c r="G150" s="163">
        <f t="shared" si="21"/>
        <v>0</v>
      </c>
      <c r="H150" s="333">
        <f t="shared" si="15"/>
        <v>0</v>
      </c>
      <c r="I150" s="344">
        <f t="shared" si="16"/>
        <v>0</v>
      </c>
      <c r="J150" s="162">
        <f t="shared" si="22"/>
        <v>0</v>
      </c>
      <c r="K150" s="162"/>
      <c r="L150" s="335"/>
      <c r="M150" s="162">
        <f t="shared" si="23"/>
        <v>0</v>
      </c>
      <c r="N150" s="335"/>
      <c r="O150" s="162">
        <f t="shared" si="24"/>
        <v>0</v>
      </c>
      <c r="P150" s="162">
        <f t="shared" si="25"/>
        <v>0</v>
      </c>
    </row>
    <row r="151" spans="2:16">
      <c r="B151" s="9" t="str">
        <f t="shared" si="18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9"/>
        <v>0</v>
      </c>
      <c r="F151" s="163">
        <f t="shared" si="20"/>
        <v>0</v>
      </c>
      <c r="G151" s="163">
        <f t="shared" si="21"/>
        <v>0</v>
      </c>
      <c r="H151" s="333">
        <f t="shared" si="15"/>
        <v>0</v>
      </c>
      <c r="I151" s="344">
        <f t="shared" si="16"/>
        <v>0</v>
      </c>
      <c r="J151" s="162">
        <f t="shared" si="22"/>
        <v>0</v>
      </c>
      <c r="K151" s="162"/>
      <c r="L151" s="335"/>
      <c r="M151" s="162">
        <f t="shared" si="23"/>
        <v>0</v>
      </c>
      <c r="N151" s="335"/>
      <c r="O151" s="162">
        <f t="shared" si="24"/>
        <v>0</v>
      </c>
      <c r="P151" s="162">
        <f t="shared" si="25"/>
        <v>0</v>
      </c>
    </row>
    <row r="152" spans="2:16">
      <c r="B152" s="9" t="str">
        <f t="shared" si="18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9"/>
        <v>0</v>
      </c>
      <c r="F152" s="163">
        <f t="shared" si="20"/>
        <v>0</v>
      </c>
      <c r="G152" s="163">
        <f t="shared" si="21"/>
        <v>0</v>
      </c>
      <c r="H152" s="333">
        <f t="shared" si="15"/>
        <v>0</v>
      </c>
      <c r="I152" s="344">
        <f t="shared" si="16"/>
        <v>0</v>
      </c>
      <c r="J152" s="162">
        <f t="shared" si="22"/>
        <v>0</v>
      </c>
      <c r="K152" s="162"/>
      <c r="L152" s="335"/>
      <c r="M152" s="162">
        <f t="shared" si="23"/>
        <v>0</v>
      </c>
      <c r="N152" s="335"/>
      <c r="O152" s="162">
        <f t="shared" si="24"/>
        <v>0</v>
      </c>
      <c r="P152" s="162">
        <f t="shared" si="25"/>
        <v>0</v>
      </c>
    </row>
    <row r="153" spans="2:16">
      <c r="B153" s="9" t="str">
        <f t="shared" si="18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9"/>
        <v>0</v>
      </c>
      <c r="F153" s="163">
        <f t="shared" si="20"/>
        <v>0</v>
      </c>
      <c r="G153" s="163">
        <f t="shared" si="21"/>
        <v>0</v>
      </c>
      <c r="H153" s="333">
        <f t="shared" si="15"/>
        <v>0</v>
      </c>
      <c r="I153" s="344">
        <f t="shared" si="16"/>
        <v>0</v>
      </c>
      <c r="J153" s="162">
        <f t="shared" si="22"/>
        <v>0</v>
      </c>
      <c r="K153" s="162"/>
      <c r="L153" s="335"/>
      <c r="M153" s="162">
        <f t="shared" si="23"/>
        <v>0</v>
      </c>
      <c r="N153" s="335"/>
      <c r="O153" s="162">
        <f t="shared" si="24"/>
        <v>0</v>
      </c>
      <c r="P153" s="162">
        <f t="shared" si="25"/>
        <v>0</v>
      </c>
    </row>
    <row r="154" spans="2:16" ht="13.5" thickBot="1">
      <c r="B154" s="9" t="str">
        <f t="shared" si="18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9"/>
        <v>0</v>
      </c>
      <c r="F154" s="169">
        <f t="shared" si="20"/>
        <v>0</v>
      </c>
      <c r="G154" s="169">
        <f t="shared" si="21"/>
        <v>0</v>
      </c>
      <c r="H154" s="345">
        <f t="shared" si="15"/>
        <v>0</v>
      </c>
      <c r="I154" s="346">
        <f t="shared" si="16"/>
        <v>0</v>
      </c>
      <c r="J154" s="173">
        <f t="shared" si="22"/>
        <v>0</v>
      </c>
      <c r="K154" s="162"/>
      <c r="L154" s="336"/>
      <c r="M154" s="173">
        <f t="shared" si="23"/>
        <v>0</v>
      </c>
      <c r="N154" s="336"/>
      <c r="O154" s="173">
        <f t="shared" si="24"/>
        <v>0</v>
      </c>
      <c r="P154" s="173">
        <f t="shared" si="25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zoomScale="80" zoomScaleNormal="100" zoomScaleSheetLayoutView="8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14062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1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 t="str">
        <f>RIGHT(N3,3)</f>
        <v/>
      </c>
      <c r="P3" s="248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102569.83805108386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102569.83805108386</v>
      </c>
      <c r="O6" s="1"/>
      <c r="P6" s="1"/>
    </row>
    <row r="7" spans="1:16" ht="13.5" thickBot="1">
      <c r="C7" s="127" t="s">
        <v>41</v>
      </c>
      <c r="D7" s="343" t="s">
        <v>201</v>
      </c>
      <c r="E7" s="9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44</v>
      </c>
      <c r="E9" s="428" t="s">
        <v>301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893858</f>
        <v>893858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IF(D10=0,0,ROUND(D10/D13,0))</f>
        <v>22346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579098</v>
      </c>
      <c r="E17" s="367">
        <v>5463</v>
      </c>
      <c r="F17" s="366">
        <v>573635</v>
      </c>
      <c r="G17" s="367">
        <v>56729</v>
      </c>
      <c r="H17" s="367">
        <v>56729</v>
      </c>
      <c r="I17" s="160">
        <f t="shared" ref="I17:I48" si="0">H17-G17</f>
        <v>0</v>
      </c>
      <c r="J17" s="160"/>
      <c r="K17" s="338">
        <v>56729</v>
      </c>
      <c r="L17" s="161">
        <f t="shared" ref="L17:L48" si="1">IF(K17&lt;&gt;0,+G17-K17,0)</f>
        <v>0</v>
      </c>
      <c r="M17" s="338">
        <v>56729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888395</v>
      </c>
      <c r="E18" s="368">
        <v>15962</v>
      </c>
      <c r="F18" s="371">
        <v>872433</v>
      </c>
      <c r="G18" s="368">
        <v>141851</v>
      </c>
      <c r="H18" s="370">
        <v>141851</v>
      </c>
      <c r="I18" s="160">
        <f t="shared" si="0"/>
        <v>0</v>
      </c>
      <c r="J18" s="160"/>
      <c r="K18" s="338">
        <f t="shared" ref="K18:K23" si="4">G18</f>
        <v>141851</v>
      </c>
      <c r="L18" s="162">
        <f t="shared" si="1"/>
        <v>0</v>
      </c>
      <c r="M18" s="338">
        <f t="shared" ref="M18:M23" si="5">H18</f>
        <v>141851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2011</v>
      </c>
      <c r="D19" s="371">
        <v>872433</v>
      </c>
      <c r="E19" s="368">
        <v>17527</v>
      </c>
      <c r="F19" s="371">
        <v>854906</v>
      </c>
      <c r="G19" s="368">
        <v>151356.84230707804</v>
      </c>
      <c r="H19" s="370">
        <v>151356.84230707804</v>
      </c>
      <c r="I19" s="160">
        <f t="shared" si="0"/>
        <v>0</v>
      </c>
      <c r="J19" s="160"/>
      <c r="K19" s="338">
        <f t="shared" si="4"/>
        <v>151356.84230707804</v>
      </c>
      <c r="L19" s="162">
        <f t="shared" si="1"/>
        <v>0</v>
      </c>
      <c r="M19" s="338">
        <f t="shared" si="5"/>
        <v>151356.84230707804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405">
        <f>IF(D11="","-",+C19+1)</f>
        <v>2012</v>
      </c>
      <c r="D20" s="371">
        <v>854906</v>
      </c>
      <c r="E20" s="368">
        <v>17190</v>
      </c>
      <c r="F20" s="371">
        <v>837716</v>
      </c>
      <c r="G20" s="368">
        <v>133805.70830730975</v>
      </c>
      <c r="H20" s="370">
        <v>133805.70830730975</v>
      </c>
      <c r="I20" s="160">
        <f t="shared" si="0"/>
        <v>0</v>
      </c>
      <c r="J20" s="160"/>
      <c r="K20" s="338">
        <f t="shared" si="4"/>
        <v>133805.70830730975</v>
      </c>
      <c r="L20" s="162">
        <f t="shared" si="1"/>
        <v>0</v>
      </c>
      <c r="M20" s="338">
        <f t="shared" si="5"/>
        <v>133805.70830730975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405">
        <f>IF(D12="","-",+C20+1)</f>
        <v>2013</v>
      </c>
      <c r="D21" s="371">
        <v>837716</v>
      </c>
      <c r="E21" s="368">
        <v>17190</v>
      </c>
      <c r="F21" s="371">
        <v>820526</v>
      </c>
      <c r="G21" s="368">
        <v>134366.65985215519</v>
      </c>
      <c r="H21" s="370">
        <v>134366.65985215519</v>
      </c>
      <c r="I21" s="160">
        <v>0</v>
      </c>
      <c r="J21" s="160"/>
      <c r="K21" s="338">
        <f t="shared" si="4"/>
        <v>134366.65985215519</v>
      </c>
      <c r="L21" s="162">
        <f t="shared" ref="L21:L26" si="7">IF(K21&lt;&gt;0,+G21-K21,0)</f>
        <v>0</v>
      </c>
      <c r="M21" s="338">
        <f t="shared" si="5"/>
        <v>134366.65985215519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820526</v>
      </c>
      <c r="E22" s="368">
        <v>17190</v>
      </c>
      <c r="F22" s="371">
        <v>803336</v>
      </c>
      <c r="G22" s="368">
        <v>127776.24380165605</v>
      </c>
      <c r="H22" s="370">
        <v>127776.24380165605</v>
      </c>
      <c r="I22" s="160">
        <v>0</v>
      </c>
      <c r="J22" s="160"/>
      <c r="K22" s="338">
        <f t="shared" si="4"/>
        <v>127776.24380165605</v>
      </c>
      <c r="L22" s="162">
        <f t="shared" si="7"/>
        <v>0</v>
      </c>
      <c r="M22" s="338">
        <f t="shared" si="5"/>
        <v>127776.24380165605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71">
        <v>803336</v>
      </c>
      <c r="E23" s="368">
        <v>17190</v>
      </c>
      <c r="F23" s="371">
        <v>786146</v>
      </c>
      <c r="G23" s="368">
        <v>125577.25148028173</v>
      </c>
      <c r="H23" s="370">
        <v>125577.25148028173</v>
      </c>
      <c r="I23" s="160">
        <v>0</v>
      </c>
      <c r="J23" s="160"/>
      <c r="K23" s="338">
        <f t="shared" si="4"/>
        <v>125577.25148028173</v>
      </c>
      <c r="L23" s="162">
        <f t="shared" si="7"/>
        <v>0</v>
      </c>
      <c r="M23" s="338">
        <f t="shared" si="5"/>
        <v>125577.25148028173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786146</v>
      </c>
      <c r="E24" s="368">
        <v>17190</v>
      </c>
      <c r="F24" s="371">
        <v>768956</v>
      </c>
      <c r="G24" s="368">
        <v>118045.98754263212</v>
      </c>
      <c r="H24" s="370">
        <v>118045.98754263212</v>
      </c>
      <c r="I24" s="160">
        <f t="shared" si="0"/>
        <v>0</v>
      </c>
      <c r="J24" s="160"/>
      <c r="K24" s="338">
        <f>G24</f>
        <v>118045.98754263212</v>
      </c>
      <c r="L24" s="162">
        <f t="shared" si="7"/>
        <v>0</v>
      </c>
      <c r="M24" s="338">
        <f>H24</f>
        <v>118045.98754263212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768956</v>
      </c>
      <c r="E25" s="368">
        <v>19432</v>
      </c>
      <c r="F25" s="371">
        <v>749524</v>
      </c>
      <c r="G25" s="368">
        <v>114816.91495182553</v>
      </c>
      <c r="H25" s="370">
        <v>114816.91495182553</v>
      </c>
      <c r="I25" s="160">
        <f t="shared" si="0"/>
        <v>0</v>
      </c>
      <c r="J25" s="160"/>
      <c r="K25" s="338">
        <f>G25</f>
        <v>114816.91495182553</v>
      </c>
      <c r="L25" s="162">
        <f t="shared" si="7"/>
        <v>0</v>
      </c>
      <c r="M25" s="338">
        <f>H25</f>
        <v>114816.91495182553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749524</v>
      </c>
      <c r="E26" s="368">
        <v>19864</v>
      </c>
      <c r="F26" s="371">
        <v>729660</v>
      </c>
      <c r="G26" s="368">
        <v>108436.75447594153</v>
      </c>
      <c r="H26" s="370">
        <v>108436.75447594153</v>
      </c>
      <c r="I26" s="160">
        <v>0</v>
      </c>
      <c r="J26" s="160"/>
      <c r="K26" s="338">
        <f>G26</f>
        <v>108436.75447594153</v>
      </c>
      <c r="L26" s="162">
        <f t="shared" si="7"/>
        <v>0</v>
      </c>
      <c r="M26" s="338">
        <f>H26</f>
        <v>108436.75447594153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6">
        <f>IF(F26+SUM(E$17:E26)=D$10,F26,D$10-SUM(E$17:E26))</f>
        <v>729660</v>
      </c>
      <c r="E27" s="164">
        <f>IF(+I14&lt;F26,I14,D27)</f>
        <v>22346</v>
      </c>
      <c r="F27" s="163">
        <f t="shared" ref="F27:F48" si="10">+D27-E27</f>
        <v>707314</v>
      </c>
      <c r="G27" s="165">
        <f t="shared" ref="G27:G72" si="11">(D27+F27)/2*I$12+E27</f>
        <v>102569.83805108386</v>
      </c>
      <c r="H27" s="147">
        <f t="shared" ref="H27:H72" si="12">+(D27+F27)/2*I$13+E27</f>
        <v>102569.83805108386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6">
        <f>IF(F27+SUM(E$17:E27)=D$10,F27,D$10-SUM(E$17:E27))</f>
        <v>707314</v>
      </c>
      <c r="E28" s="164">
        <f>IF(+I14&lt;F27,I14,D28)</f>
        <v>22346</v>
      </c>
      <c r="F28" s="163">
        <f t="shared" si="10"/>
        <v>684968</v>
      </c>
      <c r="G28" s="165">
        <f t="shared" si="11"/>
        <v>100074.75896810877</v>
      </c>
      <c r="H28" s="147">
        <f t="shared" si="12"/>
        <v>100074.75896810877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6">
        <f>IF(F28+SUM(E$17:E28)=D$10,F28,D$10-SUM(E$17:E28))</f>
        <v>684968</v>
      </c>
      <c r="E29" s="164">
        <f>IF(+I14&lt;F28,I14,D29)</f>
        <v>22346</v>
      </c>
      <c r="F29" s="163">
        <f t="shared" si="10"/>
        <v>662622</v>
      </c>
      <c r="G29" s="165">
        <f t="shared" si="11"/>
        <v>97579.679885133693</v>
      </c>
      <c r="H29" s="147">
        <f t="shared" si="12"/>
        <v>97579.679885133693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6">
        <f>IF(F29+SUM(E$17:E29)=D$10,F29,D$10-SUM(E$17:E29))</f>
        <v>662622</v>
      </c>
      <c r="E30" s="164">
        <f>IF(+I14&lt;F29,I14,D30)</f>
        <v>22346</v>
      </c>
      <c r="F30" s="163">
        <f t="shared" si="10"/>
        <v>640276</v>
      </c>
      <c r="G30" s="165">
        <f t="shared" si="11"/>
        <v>95084.600802158602</v>
      </c>
      <c r="H30" s="147">
        <f t="shared" si="12"/>
        <v>95084.600802158602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6">
        <f>IF(F30+SUM(E$17:E30)=D$10,F30,D$10-SUM(E$17:E30))</f>
        <v>640276</v>
      </c>
      <c r="E31" s="164">
        <f>IF(+I14&lt;F30,I14,D31)</f>
        <v>22346</v>
      </c>
      <c r="F31" s="163">
        <f t="shared" si="10"/>
        <v>617930</v>
      </c>
      <c r="G31" s="165">
        <f t="shared" si="11"/>
        <v>92589.521719183511</v>
      </c>
      <c r="H31" s="147">
        <f t="shared" si="12"/>
        <v>92589.521719183511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6">
        <f>IF(F31+SUM(E$17:E31)=D$10,F31,D$10-SUM(E$17:E31))</f>
        <v>617930</v>
      </c>
      <c r="E32" s="164">
        <f>IF(+I14&lt;F31,I14,D32)</f>
        <v>22346</v>
      </c>
      <c r="F32" s="163">
        <f t="shared" si="10"/>
        <v>595584</v>
      </c>
      <c r="G32" s="165">
        <f t="shared" si="11"/>
        <v>90094.442636208434</v>
      </c>
      <c r="H32" s="147">
        <f t="shared" si="12"/>
        <v>90094.442636208434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6">
        <f>IF(F32+SUM(E$17:E32)=D$10,F32,D$10-SUM(E$17:E32))</f>
        <v>595584</v>
      </c>
      <c r="E33" s="164">
        <f>IF(+I14&lt;F32,I14,D33)</f>
        <v>22346</v>
      </c>
      <c r="F33" s="163">
        <f t="shared" si="10"/>
        <v>573238</v>
      </c>
      <c r="G33" s="165">
        <f t="shared" si="11"/>
        <v>87599.363553233357</v>
      </c>
      <c r="H33" s="147">
        <f t="shared" si="12"/>
        <v>87599.363553233357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6">
        <f>IF(F33+SUM(E$17:E33)=D$10,F33,D$10-SUM(E$17:E33))</f>
        <v>573238</v>
      </c>
      <c r="E34" s="164">
        <f>IF(+I14&lt;F33,I14,D34)</f>
        <v>22346</v>
      </c>
      <c r="F34" s="163">
        <f t="shared" si="10"/>
        <v>550892</v>
      </c>
      <c r="G34" s="165">
        <f t="shared" si="11"/>
        <v>85104.284470258252</v>
      </c>
      <c r="H34" s="147">
        <f t="shared" si="12"/>
        <v>85104.284470258252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6">
        <f>IF(F34+SUM(E$17:E34)=D$10,F34,D$10-SUM(E$17:E34))</f>
        <v>550892</v>
      </c>
      <c r="E35" s="164">
        <f>IF(+I14&lt;F34,I14,D35)</f>
        <v>22346</v>
      </c>
      <c r="F35" s="163">
        <f t="shared" si="10"/>
        <v>528546</v>
      </c>
      <c r="G35" s="165">
        <f t="shared" si="11"/>
        <v>82609.205387283175</v>
      </c>
      <c r="H35" s="147">
        <f t="shared" si="12"/>
        <v>82609.205387283175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6">
        <f>IF(F35+SUM(E$17:E35)=D$10,F35,D$10-SUM(E$17:E35))</f>
        <v>528546</v>
      </c>
      <c r="E36" s="164">
        <f>IF(+I14&lt;F35,I14,D36)</f>
        <v>22346</v>
      </c>
      <c r="F36" s="163">
        <f t="shared" si="10"/>
        <v>506200</v>
      </c>
      <c r="G36" s="165">
        <f t="shared" si="11"/>
        <v>80114.126304308098</v>
      </c>
      <c r="H36" s="147">
        <f t="shared" si="12"/>
        <v>80114.126304308098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6">
        <f>IF(F36+SUM(E$17:E36)=D$10,F36,D$10-SUM(E$17:E36))</f>
        <v>506200</v>
      </c>
      <c r="E37" s="164">
        <f>IF(+I14&lt;F36,I14,D37)</f>
        <v>22346</v>
      </c>
      <c r="F37" s="163">
        <f t="shared" si="10"/>
        <v>483854</v>
      </c>
      <c r="G37" s="165">
        <f t="shared" si="11"/>
        <v>77619.047221333007</v>
      </c>
      <c r="H37" s="147">
        <f t="shared" si="12"/>
        <v>77619.047221333007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6">
        <f>IF(F37+SUM(E$17:E37)=D$10,F37,D$10-SUM(E$17:E37))</f>
        <v>483854</v>
      </c>
      <c r="E38" s="164">
        <f>IF(+I14&lt;F37,I14,D38)</f>
        <v>22346</v>
      </c>
      <c r="F38" s="163">
        <f t="shared" si="10"/>
        <v>461508</v>
      </c>
      <c r="G38" s="165">
        <f t="shared" si="11"/>
        <v>75123.968138357915</v>
      </c>
      <c r="H38" s="147">
        <f t="shared" si="12"/>
        <v>75123.968138357915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6">
        <f>IF(F38+SUM(E$17:E38)=D$10,F38,D$10-SUM(E$17:E38))</f>
        <v>461508</v>
      </c>
      <c r="E39" s="164">
        <f>IF(+I14&lt;F38,I14,D39)</f>
        <v>22346</v>
      </c>
      <c r="F39" s="163">
        <f t="shared" si="10"/>
        <v>439162</v>
      </c>
      <c r="G39" s="165">
        <f t="shared" si="11"/>
        <v>72628.889055382839</v>
      </c>
      <c r="H39" s="147">
        <f t="shared" si="12"/>
        <v>72628.889055382839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6">
        <f>IF(F39+SUM(E$17:E39)=D$10,F39,D$10-SUM(E$17:E39))</f>
        <v>439162</v>
      </c>
      <c r="E40" s="164">
        <f>IF(+I14&lt;F39,I14,D40)</f>
        <v>22346</v>
      </c>
      <c r="F40" s="163">
        <f t="shared" si="10"/>
        <v>416816</v>
      </c>
      <c r="G40" s="165">
        <f t="shared" si="11"/>
        <v>70133.809972407762</v>
      </c>
      <c r="H40" s="147">
        <f t="shared" si="12"/>
        <v>70133.809972407762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6">
        <f>IF(F40+SUM(E$17:E40)=D$10,F40,D$10-SUM(E$17:E40))</f>
        <v>416816</v>
      </c>
      <c r="E41" s="164">
        <f>IF(+I14&lt;F40,I14,D41)</f>
        <v>22346</v>
      </c>
      <c r="F41" s="163">
        <f t="shared" si="10"/>
        <v>394470</v>
      </c>
      <c r="G41" s="165">
        <f t="shared" si="11"/>
        <v>67638.730889432671</v>
      </c>
      <c r="H41" s="147">
        <f t="shared" si="12"/>
        <v>67638.730889432671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6">
        <f>IF(F41+SUM(E$17:E41)=D$10,F41,D$10-SUM(E$17:E41))</f>
        <v>394470</v>
      </c>
      <c r="E42" s="164">
        <f>IF(+I14&lt;F41,I14,D42)</f>
        <v>22346</v>
      </c>
      <c r="F42" s="163">
        <f t="shared" si="10"/>
        <v>372124</v>
      </c>
      <c r="G42" s="165">
        <f t="shared" si="11"/>
        <v>65143.651806457579</v>
      </c>
      <c r="H42" s="147">
        <f t="shared" si="12"/>
        <v>65143.651806457579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6">
        <f>IF(F42+SUM(E$17:E42)=D$10,F42,D$10-SUM(E$17:E42))</f>
        <v>372124</v>
      </c>
      <c r="E43" s="164">
        <f>IF(+I14&lt;F42,I14,D43)</f>
        <v>22346</v>
      </c>
      <c r="F43" s="163">
        <f t="shared" si="10"/>
        <v>349778</v>
      </c>
      <c r="G43" s="165">
        <f t="shared" si="11"/>
        <v>62648.572723482495</v>
      </c>
      <c r="H43" s="147">
        <f t="shared" si="12"/>
        <v>62648.572723482495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6">
        <f>IF(F43+SUM(E$17:E43)=D$10,F43,D$10-SUM(E$17:E43))</f>
        <v>349778</v>
      </c>
      <c r="E44" s="164">
        <f>IF(+I14&lt;F43,I14,D44)</f>
        <v>22346</v>
      </c>
      <c r="F44" s="163">
        <f t="shared" si="10"/>
        <v>327432</v>
      </c>
      <c r="G44" s="165">
        <f t="shared" si="11"/>
        <v>60153.493640507411</v>
      </c>
      <c r="H44" s="147">
        <f t="shared" si="12"/>
        <v>60153.493640507411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6">
        <f>IF(F44+SUM(E$17:E44)=D$10,F44,D$10-SUM(E$17:E44))</f>
        <v>327432</v>
      </c>
      <c r="E45" s="164">
        <f>IF(+I14&lt;F44,I14,D45)</f>
        <v>22346</v>
      </c>
      <c r="F45" s="163">
        <f t="shared" si="10"/>
        <v>305086</v>
      </c>
      <c r="G45" s="165">
        <f t="shared" si="11"/>
        <v>57658.414557532327</v>
      </c>
      <c r="H45" s="147">
        <f t="shared" si="12"/>
        <v>57658.414557532327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6">
        <f>IF(F45+SUM(E$17:E45)=D$10,F45,D$10-SUM(E$17:E45))</f>
        <v>305086</v>
      </c>
      <c r="E46" s="164">
        <f>IF(+I14&lt;F45,I14,D46)</f>
        <v>22346</v>
      </c>
      <c r="F46" s="163">
        <f t="shared" si="10"/>
        <v>282740</v>
      </c>
      <c r="G46" s="165">
        <f t="shared" si="11"/>
        <v>55163.335474557243</v>
      </c>
      <c r="H46" s="147">
        <f t="shared" si="12"/>
        <v>55163.335474557243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6">
        <f>IF(F46+SUM(E$17:E46)=D$10,F46,D$10-SUM(E$17:E46))</f>
        <v>282740</v>
      </c>
      <c r="E47" s="164">
        <f>IF(+I14&lt;F46,I14,D47)</f>
        <v>22346</v>
      </c>
      <c r="F47" s="163">
        <f t="shared" si="10"/>
        <v>260394</v>
      </c>
      <c r="G47" s="165">
        <f t="shared" si="11"/>
        <v>52668.256391582159</v>
      </c>
      <c r="H47" s="147">
        <f t="shared" si="12"/>
        <v>52668.256391582159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6">
        <f>IF(F47+SUM(E$17:E47)=D$10,F47,D$10-SUM(E$17:E47))</f>
        <v>260394</v>
      </c>
      <c r="E48" s="164">
        <f>IF(+I14&lt;F47,I14,D48)</f>
        <v>22346</v>
      </c>
      <c r="F48" s="163">
        <f t="shared" si="10"/>
        <v>238048</v>
      </c>
      <c r="G48" s="165">
        <f t="shared" si="11"/>
        <v>50173.177308607075</v>
      </c>
      <c r="H48" s="147">
        <f t="shared" si="12"/>
        <v>50173.177308607075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6">
        <f>IF(F48+SUM(E$17:E48)=D$10,F48,D$10-SUM(E$17:E48))</f>
        <v>238048</v>
      </c>
      <c r="E49" s="164">
        <f>IF(+I14&lt;F48,I14,D49)</f>
        <v>22346</v>
      </c>
      <c r="F49" s="163">
        <f t="shared" ref="F49:F72" si="13">+D49-E49</f>
        <v>215702</v>
      </c>
      <c r="G49" s="165">
        <f t="shared" si="11"/>
        <v>47678.098225631984</v>
      </c>
      <c r="H49" s="147">
        <f t="shared" si="12"/>
        <v>47678.098225631984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6">
        <f>IF(F49+SUM(E$17:E49)=D$10,F49,D$10-SUM(E$17:E49))</f>
        <v>215702</v>
      </c>
      <c r="E50" s="164">
        <f>IF(+I14&lt;F49,I14,D50)</f>
        <v>22346</v>
      </c>
      <c r="F50" s="163">
        <f t="shared" si="13"/>
        <v>193356</v>
      </c>
      <c r="G50" s="165">
        <f t="shared" si="11"/>
        <v>45183.019142656907</v>
      </c>
      <c r="H50" s="147">
        <f t="shared" si="12"/>
        <v>45183.019142656907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6">
        <f>IF(F50+SUM(E$17:E50)=D$10,F50,D$10-SUM(E$17:E50))</f>
        <v>193356</v>
      </c>
      <c r="E51" s="164">
        <f>IF(+I14&lt;F50,I14,D51)</f>
        <v>22346</v>
      </c>
      <c r="F51" s="163">
        <f t="shared" si="13"/>
        <v>171010</v>
      </c>
      <c r="G51" s="165">
        <f t="shared" si="11"/>
        <v>42687.940059681816</v>
      </c>
      <c r="H51" s="147">
        <f t="shared" si="12"/>
        <v>42687.940059681816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6">
        <f>IF(F51+SUM(E$17:E51)=D$10,F51,D$10-SUM(E$17:E51))</f>
        <v>171010</v>
      </c>
      <c r="E52" s="164">
        <f>IF(+I14&lt;F51,I14,D52)</f>
        <v>22346</v>
      </c>
      <c r="F52" s="163">
        <f t="shared" si="13"/>
        <v>148664</v>
      </c>
      <c r="G52" s="165">
        <f t="shared" si="11"/>
        <v>40192.860976706732</v>
      </c>
      <c r="H52" s="147">
        <f t="shared" si="12"/>
        <v>40192.860976706732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6">
        <f>IF(F52+SUM(E$17:E52)=D$10,F52,D$10-SUM(E$17:E52))</f>
        <v>148664</v>
      </c>
      <c r="E53" s="164">
        <f>IF(+I14&lt;F52,I14,D53)</f>
        <v>22346</v>
      </c>
      <c r="F53" s="163">
        <f t="shared" si="13"/>
        <v>126318</v>
      </c>
      <c r="G53" s="165">
        <f t="shared" si="11"/>
        <v>37697.781893731648</v>
      </c>
      <c r="H53" s="147">
        <f t="shared" si="12"/>
        <v>37697.781893731648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6">
        <f>IF(F53+SUM(E$17:E53)=D$10,F53,D$10-SUM(E$17:E53))</f>
        <v>126318</v>
      </c>
      <c r="E54" s="164">
        <f>IF(+I14&lt;F53,I14,D54)</f>
        <v>22346</v>
      </c>
      <c r="F54" s="163">
        <f t="shared" si="13"/>
        <v>103972</v>
      </c>
      <c r="G54" s="165">
        <f t="shared" si="11"/>
        <v>35202.702810756564</v>
      </c>
      <c r="H54" s="147">
        <f t="shared" si="12"/>
        <v>35202.702810756564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6">
        <f>IF(F54+SUM(E$17:E54)=D$10,F54,D$10-SUM(E$17:E54))</f>
        <v>103972</v>
      </c>
      <c r="E55" s="164">
        <f>IF(+I14&lt;F54,I14,D55)</f>
        <v>22346</v>
      </c>
      <c r="F55" s="163">
        <f t="shared" si="13"/>
        <v>81626</v>
      </c>
      <c r="G55" s="165">
        <f t="shared" si="11"/>
        <v>32707.62372778148</v>
      </c>
      <c r="H55" s="147">
        <f t="shared" si="12"/>
        <v>32707.62372778148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6">
        <f>IF(F55+SUM(E$17:E55)=D$10,F55,D$10-SUM(E$17:E55))</f>
        <v>81626</v>
      </c>
      <c r="E56" s="164">
        <f>IF(+I14&lt;F55,I14,D56)</f>
        <v>22346</v>
      </c>
      <c r="F56" s="163">
        <f t="shared" si="13"/>
        <v>59280</v>
      </c>
      <c r="G56" s="165">
        <f t="shared" si="11"/>
        <v>30212.544644806392</v>
      </c>
      <c r="H56" s="147">
        <f t="shared" si="12"/>
        <v>30212.544644806392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6">
        <f>IF(F56+SUM(E$17:E56)=D$10,F56,D$10-SUM(E$17:E56))</f>
        <v>59280</v>
      </c>
      <c r="E57" s="164">
        <f>IF(+I14&lt;F56,I14,D57)</f>
        <v>22346</v>
      </c>
      <c r="F57" s="163">
        <f t="shared" si="13"/>
        <v>36934</v>
      </c>
      <c r="G57" s="165">
        <f t="shared" si="11"/>
        <v>27717.465561831308</v>
      </c>
      <c r="H57" s="147">
        <f t="shared" si="12"/>
        <v>27717.465561831308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6">
        <f>IF(F57+SUM(E$17:E57)=D$10,F57,D$10-SUM(E$17:E57))</f>
        <v>36934</v>
      </c>
      <c r="E58" s="164">
        <f>IF(+I14&lt;F57,I14,D58)</f>
        <v>22346</v>
      </c>
      <c r="F58" s="163">
        <f t="shared" si="13"/>
        <v>14588</v>
      </c>
      <c r="G58" s="165">
        <f t="shared" si="11"/>
        <v>25222.386478856224</v>
      </c>
      <c r="H58" s="147">
        <f t="shared" si="12"/>
        <v>25222.386478856224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6">
        <f>IF(F58+SUM(E$17:E58)=D$10,F58,D$10-SUM(E$17:E58))</f>
        <v>14588</v>
      </c>
      <c r="E59" s="164">
        <f>IF(+I14&lt;F58,I14,D59)</f>
        <v>14588</v>
      </c>
      <c r="F59" s="163">
        <f t="shared" si="13"/>
        <v>0</v>
      </c>
      <c r="G59" s="165">
        <f t="shared" si="11"/>
        <v>15402.423468684341</v>
      </c>
      <c r="H59" s="147">
        <f t="shared" si="12"/>
        <v>15402.423468684341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6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6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6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6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6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1:16">
      <c r="B65" s="9" t="str">
        <f t="shared" si="6"/>
        <v/>
      </c>
      <c r="C65" s="157">
        <f>IF(D11="","-",+C64+1)</f>
        <v>2057</v>
      </c>
      <c r="D65" s="166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1:16">
      <c r="B66" s="9" t="str">
        <f t="shared" si="6"/>
        <v/>
      </c>
      <c r="C66" s="157">
        <f>IF(D11="","-",+C65+1)</f>
        <v>2058</v>
      </c>
      <c r="D66" s="166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1:16">
      <c r="B67" s="9" t="str">
        <f t="shared" si="6"/>
        <v/>
      </c>
      <c r="C67" s="157">
        <f>IF(D11="","-",+C66+1)</f>
        <v>2059</v>
      </c>
      <c r="D67" s="166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1:16">
      <c r="B68" s="9" t="str">
        <f t="shared" si="6"/>
        <v/>
      </c>
      <c r="C68" s="157">
        <f>IF(D11="","-",+C67+1)</f>
        <v>2060</v>
      </c>
      <c r="D68" s="166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1:16">
      <c r="B69" s="9" t="str">
        <f t="shared" si="6"/>
        <v/>
      </c>
      <c r="C69" s="157">
        <f>IF(D11="","-",+C68+1)</f>
        <v>2061</v>
      </c>
      <c r="D69" s="166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1:16">
      <c r="B70" s="9" t="str">
        <f t="shared" si="6"/>
        <v/>
      </c>
      <c r="C70" s="157">
        <f>IF(D11="","-",+C69+1)</f>
        <v>2062</v>
      </c>
      <c r="D70" s="166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1:16">
      <c r="B71" s="9" t="str">
        <f t="shared" si="6"/>
        <v/>
      </c>
      <c r="C71" s="157">
        <f>IF(D11="","-",+C70+1)</f>
        <v>2063</v>
      </c>
      <c r="D71" s="166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1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1:16">
      <c r="C73" s="158" t="s">
        <v>72</v>
      </c>
      <c r="D73" s="115"/>
      <c r="E73" s="115">
        <f>SUM(E17:E72)</f>
        <v>893858</v>
      </c>
      <c r="F73" s="115"/>
      <c r="G73" s="115">
        <f>SUM(G17:G72)</f>
        <v>3272840.3786666058</v>
      </c>
      <c r="H73" s="115">
        <f>SUM(H17:H72)</f>
        <v>3272840.3786666058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1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1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1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1:16" ht="18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114"/>
      <c r="P77" s="4"/>
    </row>
    <row r="78" spans="1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1:16" ht="15">
      <c r="A79" s="250"/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</row>
    <row r="80" spans="1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51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1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114816.91495182553</v>
      </c>
      <c r="N87" s="202">
        <f>IF(J92&lt;D11,0,VLOOKUP(J92,C17:O72,11))</f>
        <v>114816.91495182553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114983.91552559278</v>
      </c>
      <c r="N88" s="204">
        <f>IF(J92&lt;D11,0,VLOOKUP(J92,C99:P154,7))</f>
        <v>114983.91552559278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Riverside-Glenpool (81-523) Reconductor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167.00057376724726</v>
      </c>
      <c r="N89" s="207">
        <f>+N88-N87</f>
        <v>167.00057376724726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TP2006087</v>
      </c>
      <c r="E91" s="210"/>
      <c r="F91" s="210"/>
      <c r="G91" s="210"/>
      <c r="H91" s="210"/>
      <c r="I91" s="210"/>
      <c r="J91" s="247"/>
      <c r="K91" s="211"/>
      <c r="P91" s="137"/>
    </row>
    <row r="92" spans="1:16">
      <c r="C92" s="376" t="s">
        <v>216</v>
      </c>
      <c r="D92" s="138">
        <v>893858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19432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7981</v>
      </c>
      <c r="F99" s="371">
        <v>885877</v>
      </c>
      <c r="G99" s="373">
        <v>442938.5</v>
      </c>
      <c r="H99" s="374">
        <v>72742</v>
      </c>
      <c r="I99" s="375">
        <v>72742</v>
      </c>
      <c r="J99" s="162">
        <f t="shared" ref="J99:J130" si="18">+I99-H99</f>
        <v>0</v>
      </c>
      <c r="K99" s="162"/>
      <c r="L99" s="338">
        <f t="shared" ref="L99:L104" si="19">H99</f>
        <v>72742</v>
      </c>
      <c r="M99" s="161">
        <f t="shared" ref="M99:M130" si="20">IF(L99&lt;&gt;0,+H99-L99,0)</f>
        <v>0</v>
      </c>
      <c r="N99" s="338">
        <f t="shared" ref="N99:N104" si="21">I99</f>
        <v>72742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2010</v>
      </c>
      <c r="D100" s="366">
        <v>885877</v>
      </c>
      <c r="E100" s="368">
        <v>17527</v>
      </c>
      <c r="F100" s="371">
        <v>868350</v>
      </c>
      <c r="G100" s="371">
        <v>877113.5</v>
      </c>
      <c r="H100" s="374">
        <v>158580.20000000001</v>
      </c>
      <c r="I100" s="375">
        <v>158580.20000000001</v>
      </c>
      <c r="J100" s="162">
        <f t="shared" si="18"/>
        <v>0</v>
      </c>
      <c r="K100" s="162"/>
      <c r="L100" s="338">
        <f t="shared" si="19"/>
        <v>158580.20000000001</v>
      </c>
      <c r="M100" s="162">
        <f t="shared" si="20"/>
        <v>0</v>
      </c>
      <c r="N100" s="338">
        <f t="shared" si="21"/>
        <v>158580.20000000001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405">
        <f>IF(D93="","-",+C100+1)</f>
        <v>2011</v>
      </c>
      <c r="D101" s="366">
        <v>868350</v>
      </c>
      <c r="E101" s="368">
        <v>17190</v>
      </c>
      <c r="F101" s="371">
        <v>851160</v>
      </c>
      <c r="G101" s="371">
        <v>859755</v>
      </c>
      <c r="H101" s="368">
        <v>137395.30233025842</v>
      </c>
      <c r="I101" s="370">
        <v>137395.30233025842</v>
      </c>
      <c r="J101" s="162">
        <f t="shared" si="18"/>
        <v>0</v>
      </c>
      <c r="K101" s="162"/>
      <c r="L101" s="380">
        <f t="shared" si="19"/>
        <v>137395.30233025842</v>
      </c>
      <c r="M101" s="381">
        <f t="shared" si="20"/>
        <v>0</v>
      </c>
      <c r="N101" s="380">
        <f t="shared" si="21"/>
        <v>137395.30233025842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405">
        <f>IF(D93="","-",+C101+1)</f>
        <v>2012</v>
      </c>
      <c r="D102" s="366">
        <v>851160</v>
      </c>
      <c r="E102" s="368">
        <v>17190</v>
      </c>
      <c r="F102" s="371">
        <v>833970</v>
      </c>
      <c r="G102" s="371">
        <v>842565</v>
      </c>
      <c r="H102" s="368">
        <v>138397.59402070014</v>
      </c>
      <c r="I102" s="370">
        <v>138397.59402070014</v>
      </c>
      <c r="J102" s="162">
        <v>0</v>
      </c>
      <c r="K102" s="162"/>
      <c r="L102" s="380">
        <f t="shared" si="19"/>
        <v>138397.59402070014</v>
      </c>
      <c r="M102" s="381">
        <f>IF(L102&lt;&gt;0,+H102-L102,0)</f>
        <v>0</v>
      </c>
      <c r="N102" s="380">
        <f t="shared" si="21"/>
        <v>138397.59402070014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2013</v>
      </c>
      <c r="D103" s="366">
        <v>833970</v>
      </c>
      <c r="E103" s="368">
        <v>17190</v>
      </c>
      <c r="F103" s="371">
        <v>816780</v>
      </c>
      <c r="G103" s="371">
        <v>825375</v>
      </c>
      <c r="H103" s="368">
        <v>135994.14234787846</v>
      </c>
      <c r="I103" s="370">
        <v>135994.14234787846</v>
      </c>
      <c r="J103" s="162">
        <v>0</v>
      </c>
      <c r="K103" s="162"/>
      <c r="L103" s="380">
        <f t="shared" si="19"/>
        <v>135994.14234787846</v>
      </c>
      <c r="M103" s="381">
        <f>IF(L103&lt;&gt;0,+H103-L103,0)</f>
        <v>0</v>
      </c>
      <c r="N103" s="380">
        <f t="shared" si="21"/>
        <v>135994.14234787846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2014</v>
      </c>
      <c r="D104" s="366">
        <v>816780</v>
      </c>
      <c r="E104" s="368">
        <v>17190</v>
      </c>
      <c r="F104" s="371">
        <v>799590</v>
      </c>
      <c r="G104" s="371">
        <v>808185</v>
      </c>
      <c r="H104" s="368">
        <v>130817.50733584017</v>
      </c>
      <c r="I104" s="370">
        <v>130817.50733584017</v>
      </c>
      <c r="J104" s="162">
        <v>0</v>
      </c>
      <c r="K104" s="162"/>
      <c r="L104" s="380">
        <f t="shared" si="19"/>
        <v>130817.50733584017</v>
      </c>
      <c r="M104" s="381">
        <f>IF(L104&lt;&gt;0,+H104-L104,0)</f>
        <v>0</v>
      </c>
      <c r="N104" s="380">
        <f t="shared" si="21"/>
        <v>130817.50733584017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2015</v>
      </c>
      <c r="D105" s="366">
        <v>799590</v>
      </c>
      <c r="E105" s="368">
        <v>17190</v>
      </c>
      <c r="F105" s="371">
        <v>782400</v>
      </c>
      <c r="G105" s="371">
        <v>790995</v>
      </c>
      <c r="H105" s="368">
        <v>125114.9078367878</v>
      </c>
      <c r="I105" s="370">
        <v>125114.9078367878</v>
      </c>
      <c r="J105" s="162">
        <f t="shared" si="18"/>
        <v>0</v>
      </c>
      <c r="K105" s="162"/>
      <c r="L105" s="380">
        <f>H105</f>
        <v>125114.9078367878</v>
      </c>
      <c r="M105" s="381">
        <f>IF(L105&lt;&gt;0,+H105-L105,0)</f>
        <v>0</v>
      </c>
      <c r="N105" s="380">
        <f>I105</f>
        <v>125114.9078367878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2016</v>
      </c>
      <c r="D106" s="366">
        <v>782400</v>
      </c>
      <c r="E106" s="368">
        <v>19432</v>
      </c>
      <c r="F106" s="371">
        <v>762968</v>
      </c>
      <c r="G106" s="371">
        <v>772684</v>
      </c>
      <c r="H106" s="368">
        <v>119043.13650322839</v>
      </c>
      <c r="I106" s="370">
        <v>119043.13650322839</v>
      </c>
      <c r="J106" s="162">
        <v>0</v>
      </c>
      <c r="K106" s="162"/>
      <c r="L106" s="380">
        <f>H106</f>
        <v>119043.13650322839</v>
      </c>
      <c r="M106" s="381">
        <f>IF(L106&lt;&gt;0,+H106-L106,0)</f>
        <v>0</v>
      </c>
      <c r="N106" s="380">
        <f>I106</f>
        <v>119043.13650322839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2017</v>
      </c>
      <c r="D107" s="158">
        <f>IF(F106+SUM(E$99:E106)=D$92,F106,D$92-SUM(E$99:E106))</f>
        <v>762968</v>
      </c>
      <c r="E107" s="165">
        <f>IF(+J96&lt;F106,J96,D107)</f>
        <v>19432</v>
      </c>
      <c r="F107" s="163">
        <f t="shared" ref="F107:F130" si="25">+D107-E107</f>
        <v>743536</v>
      </c>
      <c r="G107" s="163">
        <f t="shared" ref="G107:G130" si="26">+(F107+D107)/2</f>
        <v>753252</v>
      </c>
      <c r="H107" s="167">
        <f t="shared" ref="H107:H131" si="27">+J$94*G107+E107</f>
        <v>114983.91552559278</v>
      </c>
      <c r="I107" s="317">
        <f t="shared" ref="I107:I131" si="28">+J$95*G107+E107</f>
        <v>114983.91552559278</v>
      </c>
      <c r="J107" s="162">
        <f t="shared" si="18"/>
        <v>0</v>
      </c>
      <c r="K107" s="162"/>
      <c r="L107" s="335"/>
      <c r="M107" s="162">
        <f t="shared" si="20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2018</v>
      </c>
      <c r="D108" s="158">
        <f>IF(F107+SUM(E$99:E107)=D$92,F107,D$92-SUM(E$99:E107))</f>
        <v>743536</v>
      </c>
      <c r="E108" s="165">
        <f>IF(+J96&lt;F107,J96,D108)</f>
        <v>19432</v>
      </c>
      <c r="F108" s="163">
        <f t="shared" si="25"/>
        <v>724104</v>
      </c>
      <c r="G108" s="163">
        <f t="shared" si="26"/>
        <v>733820</v>
      </c>
      <c r="H108" s="167">
        <f t="shared" si="27"/>
        <v>112518.91732778738</v>
      </c>
      <c r="I108" s="317">
        <f t="shared" si="28"/>
        <v>112518.91732778738</v>
      </c>
      <c r="J108" s="162">
        <f t="shared" si="18"/>
        <v>0</v>
      </c>
      <c r="K108" s="162"/>
      <c r="L108" s="335"/>
      <c r="M108" s="162">
        <f t="shared" si="20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2019</v>
      </c>
      <c r="D109" s="158">
        <f>IF(F108+SUM(E$99:E108)=D$92,F108,D$92-SUM(E$99:E108))</f>
        <v>724104</v>
      </c>
      <c r="E109" s="165">
        <f>IF(+J96&lt;F108,J96,D109)</f>
        <v>19432</v>
      </c>
      <c r="F109" s="163">
        <f t="shared" si="25"/>
        <v>704672</v>
      </c>
      <c r="G109" s="163">
        <f t="shared" si="26"/>
        <v>714388</v>
      </c>
      <c r="H109" s="167">
        <f t="shared" si="27"/>
        <v>110053.91912998196</v>
      </c>
      <c r="I109" s="317">
        <f t="shared" si="28"/>
        <v>110053.91912998196</v>
      </c>
      <c r="J109" s="162">
        <f t="shared" si="18"/>
        <v>0</v>
      </c>
      <c r="K109" s="162"/>
      <c r="L109" s="335"/>
      <c r="M109" s="162">
        <f t="shared" si="20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2020</v>
      </c>
      <c r="D110" s="158">
        <f>IF(F109+SUM(E$99:E109)=D$92,F109,D$92-SUM(E$99:E109))</f>
        <v>704672</v>
      </c>
      <c r="E110" s="165">
        <f>IF(+J96&lt;F109,J96,D110)</f>
        <v>19432</v>
      </c>
      <c r="F110" s="163">
        <f t="shared" si="25"/>
        <v>685240</v>
      </c>
      <c r="G110" s="163">
        <f t="shared" si="26"/>
        <v>694956</v>
      </c>
      <c r="H110" s="167">
        <f t="shared" si="27"/>
        <v>107588.92093217655</v>
      </c>
      <c r="I110" s="317">
        <f t="shared" si="28"/>
        <v>107588.92093217655</v>
      </c>
      <c r="J110" s="162">
        <f t="shared" si="18"/>
        <v>0</v>
      </c>
      <c r="K110" s="162"/>
      <c r="L110" s="335"/>
      <c r="M110" s="162">
        <f t="shared" si="20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2021</v>
      </c>
      <c r="D111" s="158">
        <f>IF(F110+SUM(E$99:E110)=D$92,F110,D$92-SUM(E$99:E110))</f>
        <v>685240</v>
      </c>
      <c r="E111" s="165">
        <f>IF(+J96&lt;F110,J96,D111)</f>
        <v>19432</v>
      </c>
      <c r="F111" s="163">
        <f t="shared" si="25"/>
        <v>665808</v>
      </c>
      <c r="G111" s="163">
        <f t="shared" si="26"/>
        <v>675524</v>
      </c>
      <c r="H111" s="167">
        <f t="shared" si="27"/>
        <v>105123.92273437115</v>
      </c>
      <c r="I111" s="317">
        <f t="shared" si="28"/>
        <v>105123.92273437115</v>
      </c>
      <c r="J111" s="162">
        <f t="shared" si="18"/>
        <v>0</v>
      </c>
      <c r="K111" s="162"/>
      <c r="L111" s="335"/>
      <c r="M111" s="162">
        <f t="shared" si="20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2022</v>
      </c>
      <c r="D112" s="158">
        <f>IF(F111+SUM(E$99:E111)=D$92,F111,D$92-SUM(E$99:E111))</f>
        <v>665808</v>
      </c>
      <c r="E112" s="165">
        <f>IF(+J96&lt;F111,J96,D112)</f>
        <v>19432</v>
      </c>
      <c r="F112" s="163">
        <f t="shared" si="25"/>
        <v>646376</v>
      </c>
      <c r="G112" s="163">
        <f t="shared" si="26"/>
        <v>656092</v>
      </c>
      <c r="H112" s="167">
        <f t="shared" si="27"/>
        <v>102658.92453656574</v>
      </c>
      <c r="I112" s="317">
        <f t="shared" si="28"/>
        <v>102658.92453656574</v>
      </c>
      <c r="J112" s="162">
        <f t="shared" si="18"/>
        <v>0</v>
      </c>
      <c r="K112" s="162"/>
      <c r="L112" s="335"/>
      <c r="M112" s="162">
        <f t="shared" si="20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2023</v>
      </c>
      <c r="D113" s="158">
        <f>IF(F112+SUM(E$99:E112)=D$92,F112,D$92-SUM(E$99:E112))</f>
        <v>646376</v>
      </c>
      <c r="E113" s="165">
        <f>IF(+J96&lt;F112,J96,D113)</f>
        <v>19432</v>
      </c>
      <c r="F113" s="163">
        <f t="shared" si="25"/>
        <v>626944</v>
      </c>
      <c r="G113" s="163">
        <f t="shared" si="26"/>
        <v>636660</v>
      </c>
      <c r="H113" s="167">
        <f t="shared" si="27"/>
        <v>100193.92633876033</v>
      </c>
      <c r="I113" s="317">
        <f t="shared" si="28"/>
        <v>100193.92633876033</v>
      </c>
      <c r="J113" s="162">
        <f t="shared" si="18"/>
        <v>0</v>
      </c>
      <c r="K113" s="162"/>
      <c r="L113" s="335"/>
      <c r="M113" s="162">
        <f t="shared" si="20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2024</v>
      </c>
      <c r="D114" s="158">
        <f>IF(F113+SUM(E$99:E113)=D$92,F113,D$92-SUM(E$99:E113))</f>
        <v>626944</v>
      </c>
      <c r="E114" s="165">
        <f>IF(+J96&lt;F113,J96,D114)</f>
        <v>19432</v>
      </c>
      <c r="F114" s="163">
        <f t="shared" si="25"/>
        <v>607512</v>
      </c>
      <c r="G114" s="163">
        <f t="shared" si="26"/>
        <v>617228</v>
      </c>
      <c r="H114" s="167">
        <f t="shared" si="27"/>
        <v>97728.928140954929</v>
      </c>
      <c r="I114" s="317">
        <f t="shared" si="28"/>
        <v>97728.928140954929</v>
      </c>
      <c r="J114" s="162">
        <f t="shared" si="18"/>
        <v>0</v>
      </c>
      <c r="K114" s="162"/>
      <c r="L114" s="335"/>
      <c r="M114" s="162">
        <f t="shared" si="20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2025</v>
      </c>
      <c r="D115" s="158">
        <f>IF(F114+SUM(E$99:E114)=D$92,F114,D$92-SUM(E$99:E114))</f>
        <v>607512</v>
      </c>
      <c r="E115" s="165">
        <f>IF(+J96&lt;F114,J96,D115)</f>
        <v>19432</v>
      </c>
      <c r="F115" s="163">
        <f t="shared" si="25"/>
        <v>588080</v>
      </c>
      <c r="G115" s="163">
        <f t="shared" si="26"/>
        <v>597796</v>
      </c>
      <c r="H115" s="167">
        <f t="shared" si="27"/>
        <v>95263.929943149516</v>
      </c>
      <c r="I115" s="317">
        <f t="shared" si="28"/>
        <v>95263.929943149516</v>
      </c>
      <c r="J115" s="162">
        <f t="shared" si="18"/>
        <v>0</v>
      </c>
      <c r="K115" s="162"/>
      <c r="L115" s="335"/>
      <c r="M115" s="162">
        <f t="shared" si="20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2026</v>
      </c>
      <c r="D116" s="158">
        <f>IF(F115+SUM(E$99:E115)=D$92,F115,D$92-SUM(E$99:E115))</f>
        <v>588080</v>
      </c>
      <c r="E116" s="165">
        <f>IF(+J96&lt;F115,J96,D116)</f>
        <v>19432</v>
      </c>
      <c r="F116" s="163">
        <f t="shared" si="25"/>
        <v>568648</v>
      </c>
      <c r="G116" s="163">
        <f t="shared" si="26"/>
        <v>578364</v>
      </c>
      <c r="H116" s="167">
        <f t="shared" si="27"/>
        <v>92798.931745344104</v>
      </c>
      <c r="I116" s="317">
        <f t="shared" si="28"/>
        <v>92798.931745344104</v>
      </c>
      <c r="J116" s="162">
        <f t="shared" si="18"/>
        <v>0</v>
      </c>
      <c r="K116" s="162"/>
      <c r="L116" s="335"/>
      <c r="M116" s="162">
        <f t="shared" si="20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2027</v>
      </c>
      <c r="D117" s="158">
        <f>IF(F116+SUM(E$99:E116)=D$92,F116,D$92-SUM(E$99:E116))</f>
        <v>568648</v>
      </c>
      <c r="E117" s="165">
        <f>IF(+J96&lt;F116,J96,D117)</f>
        <v>19432</v>
      </c>
      <c r="F117" s="163">
        <f t="shared" si="25"/>
        <v>549216</v>
      </c>
      <c r="G117" s="163">
        <f t="shared" si="26"/>
        <v>558932</v>
      </c>
      <c r="H117" s="167">
        <f t="shared" si="27"/>
        <v>90333.933547538705</v>
      </c>
      <c r="I117" s="317">
        <f t="shared" si="28"/>
        <v>90333.933547538705</v>
      </c>
      <c r="J117" s="162">
        <f t="shared" si="18"/>
        <v>0</v>
      </c>
      <c r="K117" s="162"/>
      <c r="L117" s="335"/>
      <c r="M117" s="162">
        <f t="shared" si="20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2028</v>
      </c>
      <c r="D118" s="158">
        <f>IF(F117+SUM(E$99:E117)=D$92,F117,D$92-SUM(E$99:E117))</f>
        <v>549216</v>
      </c>
      <c r="E118" s="165">
        <f>IF(+J96&lt;F117,J96,D118)</f>
        <v>19432</v>
      </c>
      <c r="F118" s="163">
        <f t="shared" si="25"/>
        <v>529784</v>
      </c>
      <c r="G118" s="163">
        <f t="shared" si="26"/>
        <v>539500</v>
      </c>
      <c r="H118" s="167">
        <f t="shared" si="27"/>
        <v>87868.935349733292</v>
      </c>
      <c r="I118" s="317">
        <f t="shared" si="28"/>
        <v>87868.935349733292</v>
      </c>
      <c r="J118" s="162">
        <f t="shared" si="18"/>
        <v>0</v>
      </c>
      <c r="K118" s="162"/>
      <c r="L118" s="335"/>
      <c r="M118" s="162">
        <f t="shared" si="20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2029</v>
      </c>
      <c r="D119" s="158">
        <f>IF(F118+SUM(E$99:E118)=D$92,F118,D$92-SUM(E$99:E118))</f>
        <v>529784</v>
      </c>
      <c r="E119" s="165">
        <f>IF(+J96&lt;F118,J96,D119)</f>
        <v>19432</v>
      </c>
      <c r="F119" s="163">
        <f t="shared" si="25"/>
        <v>510352</v>
      </c>
      <c r="G119" s="163">
        <f t="shared" si="26"/>
        <v>520068</v>
      </c>
      <c r="H119" s="167">
        <f t="shared" si="27"/>
        <v>85403.937151927894</v>
      </c>
      <c r="I119" s="317">
        <f t="shared" si="28"/>
        <v>85403.937151927894</v>
      </c>
      <c r="J119" s="162">
        <f t="shared" si="18"/>
        <v>0</v>
      </c>
      <c r="K119" s="162"/>
      <c r="L119" s="335"/>
      <c r="M119" s="162">
        <f t="shared" si="20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2030</v>
      </c>
      <c r="D120" s="158">
        <f>IF(F119+SUM(E$99:E119)=D$92,F119,D$92-SUM(E$99:E119))</f>
        <v>510352</v>
      </c>
      <c r="E120" s="165">
        <f>IF(+J96&lt;F119,J96,D120)</f>
        <v>19432</v>
      </c>
      <c r="F120" s="163">
        <f t="shared" si="25"/>
        <v>490920</v>
      </c>
      <c r="G120" s="163">
        <f t="shared" si="26"/>
        <v>500636</v>
      </c>
      <c r="H120" s="167">
        <f t="shared" si="27"/>
        <v>82938.938954122481</v>
      </c>
      <c r="I120" s="317">
        <f t="shared" si="28"/>
        <v>82938.938954122481</v>
      </c>
      <c r="J120" s="162">
        <f t="shared" si="18"/>
        <v>0</v>
      </c>
      <c r="K120" s="162"/>
      <c r="L120" s="335"/>
      <c r="M120" s="162">
        <f t="shared" si="20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2031</v>
      </c>
      <c r="D121" s="158">
        <f>IF(F120+SUM(E$99:E120)=D$92,F120,D$92-SUM(E$99:E120))</f>
        <v>490920</v>
      </c>
      <c r="E121" s="165">
        <f>IF(+J96&lt;F120,J96,D121)</f>
        <v>19432</v>
      </c>
      <c r="F121" s="163">
        <f t="shared" si="25"/>
        <v>471488</v>
      </c>
      <c r="G121" s="163">
        <f t="shared" si="26"/>
        <v>481204</v>
      </c>
      <c r="H121" s="167">
        <f t="shared" si="27"/>
        <v>80473.940756317083</v>
      </c>
      <c r="I121" s="317">
        <f t="shared" si="28"/>
        <v>80473.940756317083</v>
      </c>
      <c r="J121" s="162">
        <f t="shared" si="18"/>
        <v>0</v>
      </c>
      <c r="K121" s="162"/>
      <c r="L121" s="335"/>
      <c r="M121" s="162">
        <f t="shared" si="20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2032</v>
      </c>
      <c r="D122" s="158">
        <f>IF(F121+SUM(E$99:E121)=D$92,F121,D$92-SUM(E$99:E121))</f>
        <v>471488</v>
      </c>
      <c r="E122" s="165">
        <f>IF(+J96&lt;F121,J96,D122)</f>
        <v>19432</v>
      </c>
      <c r="F122" s="163">
        <f t="shared" si="25"/>
        <v>452056</v>
      </c>
      <c r="G122" s="163">
        <f t="shared" si="26"/>
        <v>461772</v>
      </c>
      <c r="H122" s="167">
        <f t="shared" si="27"/>
        <v>78008.942558511655</v>
      </c>
      <c r="I122" s="317">
        <f t="shared" si="28"/>
        <v>78008.942558511655</v>
      </c>
      <c r="J122" s="162">
        <f t="shared" si="18"/>
        <v>0</v>
      </c>
      <c r="K122" s="162"/>
      <c r="L122" s="335"/>
      <c r="M122" s="162">
        <f t="shared" si="20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2033</v>
      </c>
      <c r="D123" s="158">
        <f>IF(F122+SUM(E$99:E122)=D$92,F122,D$92-SUM(E$99:E122))</f>
        <v>452056</v>
      </c>
      <c r="E123" s="165">
        <f>IF(+J96&lt;F122,J96,D123)</f>
        <v>19432</v>
      </c>
      <c r="F123" s="163">
        <f t="shared" si="25"/>
        <v>432624</v>
      </c>
      <c r="G123" s="163">
        <f t="shared" si="26"/>
        <v>442340</v>
      </c>
      <c r="H123" s="167">
        <f t="shared" si="27"/>
        <v>75543.944360706257</v>
      </c>
      <c r="I123" s="317">
        <f t="shared" si="28"/>
        <v>75543.944360706257</v>
      </c>
      <c r="J123" s="162">
        <f t="shared" si="18"/>
        <v>0</v>
      </c>
      <c r="K123" s="162"/>
      <c r="L123" s="335"/>
      <c r="M123" s="162">
        <f t="shared" si="20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2034</v>
      </c>
      <c r="D124" s="158">
        <f>IF(F123+SUM(E$99:E123)=D$92,F123,D$92-SUM(E$99:E123))</f>
        <v>432624</v>
      </c>
      <c r="E124" s="165">
        <f>IF(+J96&lt;F123,J96,D124)</f>
        <v>19432</v>
      </c>
      <c r="F124" s="163">
        <f t="shared" si="25"/>
        <v>413192</v>
      </c>
      <c r="G124" s="163">
        <f t="shared" si="26"/>
        <v>422908</v>
      </c>
      <c r="H124" s="167">
        <f t="shared" si="27"/>
        <v>73078.946162900858</v>
      </c>
      <c r="I124" s="317">
        <f t="shared" si="28"/>
        <v>73078.946162900858</v>
      </c>
      <c r="J124" s="162">
        <f t="shared" si="18"/>
        <v>0</v>
      </c>
      <c r="K124" s="162"/>
      <c r="L124" s="335"/>
      <c r="M124" s="162">
        <f t="shared" si="20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2035</v>
      </c>
      <c r="D125" s="158">
        <f>IF(F124+SUM(E$99:E124)=D$92,F124,D$92-SUM(E$99:E124))</f>
        <v>413192</v>
      </c>
      <c r="E125" s="165">
        <f>IF(+J96&lt;F124,J96,D125)</f>
        <v>19432</v>
      </c>
      <c r="F125" s="163">
        <f t="shared" si="25"/>
        <v>393760</v>
      </c>
      <c r="G125" s="163">
        <f t="shared" si="26"/>
        <v>403476</v>
      </c>
      <c r="H125" s="167">
        <f t="shared" si="27"/>
        <v>70613.947965095445</v>
      </c>
      <c r="I125" s="317">
        <f t="shared" si="28"/>
        <v>70613.947965095445</v>
      </c>
      <c r="J125" s="162">
        <f t="shared" si="18"/>
        <v>0</v>
      </c>
      <c r="K125" s="162"/>
      <c r="L125" s="335"/>
      <c r="M125" s="162">
        <f t="shared" si="20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2036</v>
      </c>
      <c r="D126" s="158">
        <f>IF(F125+SUM(E$99:E125)=D$92,F125,D$92-SUM(E$99:E125))</f>
        <v>393760</v>
      </c>
      <c r="E126" s="165">
        <f>IF(+J96&lt;F125,J96,D126)</f>
        <v>19432</v>
      </c>
      <c r="F126" s="163">
        <f t="shared" si="25"/>
        <v>374328</v>
      </c>
      <c r="G126" s="163">
        <f t="shared" si="26"/>
        <v>384044</v>
      </c>
      <c r="H126" s="167">
        <f t="shared" si="27"/>
        <v>68148.949767290032</v>
      </c>
      <c r="I126" s="317">
        <f t="shared" si="28"/>
        <v>68148.949767290032</v>
      </c>
      <c r="J126" s="162">
        <f t="shared" si="18"/>
        <v>0</v>
      </c>
      <c r="K126" s="162"/>
      <c r="L126" s="335"/>
      <c r="M126" s="162">
        <f t="shared" si="20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2037</v>
      </c>
      <c r="D127" s="158">
        <f>IF(F126+SUM(E$99:E126)=D$92,F126,D$92-SUM(E$99:E126))</f>
        <v>374328</v>
      </c>
      <c r="E127" s="165">
        <f>IF(+J96&lt;F126,J96,D127)</f>
        <v>19432</v>
      </c>
      <c r="F127" s="163">
        <f t="shared" si="25"/>
        <v>354896</v>
      </c>
      <c r="G127" s="163">
        <f t="shared" si="26"/>
        <v>364612</v>
      </c>
      <c r="H127" s="167">
        <f t="shared" si="27"/>
        <v>65683.951569484634</v>
      </c>
      <c r="I127" s="317">
        <f t="shared" si="28"/>
        <v>65683.951569484634</v>
      </c>
      <c r="J127" s="162">
        <f t="shared" si="18"/>
        <v>0</v>
      </c>
      <c r="K127" s="162"/>
      <c r="L127" s="335"/>
      <c r="M127" s="162">
        <f t="shared" si="20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2038</v>
      </c>
      <c r="D128" s="158">
        <f>IF(F127+SUM(E$99:E127)=D$92,F127,D$92-SUM(E$99:E127))</f>
        <v>354896</v>
      </c>
      <c r="E128" s="165">
        <f>IF(+J96&lt;F127,J96,D128)</f>
        <v>19432</v>
      </c>
      <c r="F128" s="163">
        <f t="shared" si="25"/>
        <v>335464</v>
      </c>
      <c r="G128" s="163">
        <f t="shared" si="26"/>
        <v>345180</v>
      </c>
      <c r="H128" s="167">
        <f t="shared" si="27"/>
        <v>63218.953371679221</v>
      </c>
      <c r="I128" s="317">
        <f t="shared" si="28"/>
        <v>63218.953371679221</v>
      </c>
      <c r="J128" s="162">
        <f t="shared" si="18"/>
        <v>0</v>
      </c>
      <c r="K128" s="162"/>
      <c r="L128" s="335"/>
      <c r="M128" s="162">
        <f t="shared" si="20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2039</v>
      </c>
      <c r="D129" s="158">
        <f>IF(F128+SUM(E$99:E128)=D$92,F128,D$92-SUM(E$99:E128))</f>
        <v>335464</v>
      </c>
      <c r="E129" s="165">
        <f>IF(+J96&lt;F128,J96,D129)</f>
        <v>19432</v>
      </c>
      <c r="F129" s="163">
        <f t="shared" si="25"/>
        <v>316032</v>
      </c>
      <c r="G129" s="163">
        <f t="shared" si="26"/>
        <v>325748</v>
      </c>
      <c r="H129" s="167">
        <f t="shared" si="27"/>
        <v>60753.955173873808</v>
      </c>
      <c r="I129" s="317">
        <f t="shared" si="28"/>
        <v>60753.955173873808</v>
      </c>
      <c r="J129" s="162">
        <f t="shared" si="18"/>
        <v>0</v>
      </c>
      <c r="K129" s="162"/>
      <c r="L129" s="335"/>
      <c r="M129" s="162">
        <f t="shared" si="20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2040</v>
      </c>
      <c r="D130" s="158">
        <f>IF(F129+SUM(E$99:E129)=D$92,F129,D$92-SUM(E$99:E129))</f>
        <v>316032</v>
      </c>
      <c r="E130" s="165">
        <f>IF(+J96&lt;F129,J96,D130)</f>
        <v>19432</v>
      </c>
      <c r="F130" s="163">
        <f t="shared" si="25"/>
        <v>296600</v>
      </c>
      <c r="G130" s="163">
        <f t="shared" si="26"/>
        <v>306316</v>
      </c>
      <c r="H130" s="167">
        <f t="shared" si="27"/>
        <v>58288.956976068403</v>
      </c>
      <c r="I130" s="317">
        <f t="shared" si="28"/>
        <v>58288.956976068403</v>
      </c>
      <c r="J130" s="162">
        <f t="shared" si="18"/>
        <v>0</v>
      </c>
      <c r="K130" s="162"/>
      <c r="L130" s="335"/>
      <c r="M130" s="162">
        <f t="shared" si="20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2041</v>
      </c>
      <c r="D131" s="158">
        <f>IF(F130+SUM(E$99:E130)=D$92,F130,D$92-SUM(E$99:E130))</f>
        <v>296600</v>
      </c>
      <c r="E131" s="165">
        <f>IF(+J96&lt;F130,J96,D131)</f>
        <v>19432</v>
      </c>
      <c r="F131" s="163">
        <f t="shared" ref="F131:F154" si="29">+D131-E131</f>
        <v>277168</v>
      </c>
      <c r="G131" s="163">
        <f t="shared" ref="G131:G154" si="30">+(F131+D131)/2</f>
        <v>286884</v>
      </c>
      <c r="H131" s="167">
        <f t="shared" si="27"/>
        <v>55823.958778262997</v>
      </c>
      <c r="I131" s="317">
        <f t="shared" si="28"/>
        <v>55823.958778262997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4"/>
        <v/>
      </c>
      <c r="C132" s="157">
        <f>IF(D93="","-",+C131+1)</f>
        <v>2042</v>
      </c>
      <c r="D132" s="158">
        <f>IF(F131+SUM(E$99:E131)=D$92,F131,D$92-SUM(E$99:E131))</f>
        <v>277168</v>
      </c>
      <c r="E132" s="165">
        <f>IF(+J96&lt;F131,J96,D132)</f>
        <v>19432</v>
      </c>
      <c r="F132" s="163">
        <f t="shared" si="29"/>
        <v>257736</v>
      </c>
      <c r="G132" s="163">
        <f t="shared" si="30"/>
        <v>267452</v>
      </c>
      <c r="H132" s="167">
        <f t="shared" ref="H132:H154" si="35">+J$94*G132+E132</f>
        <v>53358.960580457591</v>
      </c>
      <c r="I132" s="317">
        <f t="shared" ref="I132:I154" si="36">+J$95*G132+E132</f>
        <v>53358.960580457591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4"/>
        <v/>
      </c>
      <c r="C133" s="157">
        <f>IF(D93="","-",+C132+1)</f>
        <v>2043</v>
      </c>
      <c r="D133" s="158">
        <f>IF(F132+SUM(E$99:E132)=D$92,F132,D$92-SUM(E$99:E132))</f>
        <v>257736</v>
      </c>
      <c r="E133" s="165">
        <f>IF(+J96&lt;F132,J96,D133)</f>
        <v>19432</v>
      </c>
      <c r="F133" s="163">
        <f t="shared" si="29"/>
        <v>238304</v>
      </c>
      <c r="G133" s="163">
        <f t="shared" si="30"/>
        <v>248020</v>
      </c>
      <c r="H133" s="167">
        <f t="shared" si="35"/>
        <v>50893.962382652186</v>
      </c>
      <c r="I133" s="317">
        <f t="shared" si="36"/>
        <v>50893.962382652186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4"/>
        <v/>
      </c>
      <c r="C134" s="157">
        <f>IF(D93="","-",+C133+1)</f>
        <v>2044</v>
      </c>
      <c r="D134" s="158">
        <f>IF(F133+SUM(E$99:E133)=D$92,F133,D$92-SUM(E$99:E133))</f>
        <v>238304</v>
      </c>
      <c r="E134" s="165">
        <f>IF(+J96&lt;F133,J96,D134)</f>
        <v>19432</v>
      </c>
      <c r="F134" s="163">
        <f t="shared" si="29"/>
        <v>218872</v>
      </c>
      <c r="G134" s="163">
        <f t="shared" si="30"/>
        <v>228588</v>
      </c>
      <c r="H134" s="167">
        <f t="shared" si="35"/>
        <v>48428.964184846773</v>
      </c>
      <c r="I134" s="317">
        <f t="shared" si="36"/>
        <v>48428.964184846773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4"/>
        <v/>
      </c>
      <c r="C135" s="157">
        <f>IF(D93="","-",+C134+1)</f>
        <v>2045</v>
      </c>
      <c r="D135" s="158">
        <f>IF(F134+SUM(E$99:E134)=D$92,F134,D$92-SUM(E$99:E134))</f>
        <v>218872</v>
      </c>
      <c r="E135" s="165">
        <f>IF(+J96&lt;F134,J96,D135)</f>
        <v>19432</v>
      </c>
      <c r="F135" s="163">
        <f t="shared" si="29"/>
        <v>199440</v>
      </c>
      <c r="G135" s="163">
        <f t="shared" si="30"/>
        <v>209156</v>
      </c>
      <c r="H135" s="167">
        <f t="shared" si="35"/>
        <v>45963.965987041367</v>
      </c>
      <c r="I135" s="317">
        <f t="shared" si="36"/>
        <v>45963.965987041367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4"/>
        <v/>
      </c>
      <c r="C136" s="157">
        <f>IF(D93="","-",+C135+1)</f>
        <v>2046</v>
      </c>
      <c r="D136" s="158">
        <f>IF(F135+SUM(E$99:E135)=D$92,F135,D$92-SUM(E$99:E135))</f>
        <v>199440</v>
      </c>
      <c r="E136" s="165">
        <f>IF(+J96&lt;F135,J96,D136)</f>
        <v>19432</v>
      </c>
      <c r="F136" s="163">
        <f t="shared" si="29"/>
        <v>180008</v>
      </c>
      <c r="G136" s="163">
        <f t="shared" si="30"/>
        <v>189724</v>
      </c>
      <c r="H136" s="167">
        <f t="shared" si="35"/>
        <v>43498.967789235961</v>
      </c>
      <c r="I136" s="317">
        <f t="shared" si="36"/>
        <v>43498.967789235961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4"/>
        <v/>
      </c>
      <c r="C137" s="157">
        <f>IF(D93="","-",+C136+1)</f>
        <v>2047</v>
      </c>
      <c r="D137" s="158">
        <f>IF(F136+SUM(E$99:E136)=D$92,F136,D$92-SUM(E$99:E136))</f>
        <v>180008</v>
      </c>
      <c r="E137" s="165">
        <f>IF(+J96&lt;F136,J96,D137)</f>
        <v>19432</v>
      </c>
      <c r="F137" s="163">
        <f t="shared" si="29"/>
        <v>160576</v>
      </c>
      <c r="G137" s="163">
        <f t="shared" si="30"/>
        <v>170292</v>
      </c>
      <c r="H137" s="167">
        <f t="shared" si="35"/>
        <v>41033.969591430548</v>
      </c>
      <c r="I137" s="317">
        <f t="shared" si="36"/>
        <v>41033.969591430548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4"/>
        <v/>
      </c>
      <c r="C138" s="157">
        <f>IF(D93="","-",+C137+1)</f>
        <v>2048</v>
      </c>
      <c r="D138" s="158">
        <f>IF(F137+SUM(E$99:E137)=D$92,F137,D$92-SUM(E$99:E137))</f>
        <v>160576</v>
      </c>
      <c r="E138" s="165">
        <f>IF(+J96&lt;F137,J96,D138)</f>
        <v>19432</v>
      </c>
      <c r="F138" s="163">
        <f t="shared" si="29"/>
        <v>141144</v>
      </c>
      <c r="G138" s="163">
        <f t="shared" si="30"/>
        <v>150860</v>
      </c>
      <c r="H138" s="167">
        <f t="shared" si="35"/>
        <v>38568.971393625143</v>
      </c>
      <c r="I138" s="317">
        <f t="shared" si="36"/>
        <v>38568.971393625143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4"/>
        <v/>
      </c>
      <c r="C139" s="157">
        <f>IF(D93="","-",+C138+1)</f>
        <v>2049</v>
      </c>
      <c r="D139" s="158">
        <f>IF(F138+SUM(E$99:E138)=D$92,F138,D$92-SUM(E$99:E138))</f>
        <v>141144</v>
      </c>
      <c r="E139" s="165">
        <f>IF(+J96&lt;F138,J96,D139)</f>
        <v>19432</v>
      </c>
      <c r="F139" s="163">
        <f t="shared" si="29"/>
        <v>121712</v>
      </c>
      <c r="G139" s="163">
        <f t="shared" si="30"/>
        <v>131428</v>
      </c>
      <c r="H139" s="167">
        <f t="shared" si="35"/>
        <v>36103.973195819737</v>
      </c>
      <c r="I139" s="317">
        <f t="shared" si="36"/>
        <v>36103.973195819737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4"/>
        <v/>
      </c>
      <c r="C140" s="157">
        <f>IF(D93="","-",+C139+1)</f>
        <v>2050</v>
      </c>
      <c r="D140" s="158">
        <f>IF(F139+SUM(E$99:E139)=D$92,F139,D$92-SUM(E$99:E139))</f>
        <v>121712</v>
      </c>
      <c r="E140" s="165">
        <f>IF(+J96&lt;F139,J96,D140)</f>
        <v>19432</v>
      </c>
      <c r="F140" s="163">
        <f t="shared" si="29"/>
        <v>102280</v>
      </c>
      <c r="G140" s="163">
        <f t="shared" si="30"/>
        <v>111996</v>
      </c>
      <c r="H140" s="167">
        <f t="shared" si="35"/>
        <v>33638.974998014324</v>
      </c>
      <c r="I140" s="317">
        <f t="shared" si="36"/>
        <v>33638.974998014324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4"/>
        <v/>
      </c>
      <c r="C141" s="157">
        <f>IF(D93="","-",+C140+1)</f>
        <v>2051</v>
      </c>
      <c r="D141" s="158">
        <f>IF(F140+SUM(E$99:E140)=D$92,F140,D$92-SUM(E$99:E140))</f>
        <v>102280</v>
      </c>
      <c r="E141" s="165">
        <f>IF(+J96&lt;F140,J96,D141)</f>
        <v>19432</v>
      </c>
      <c r="F141" s="163">
        <f t="shared" si="29"/>
        <v>82848</v>
      </c>
      <c r="G141" s="163">
        <f t="shared" si="30"/>
        <v>92564</v>
      </c>
      <c r="H141" s="167">
        <f t="shared" si="35"/>
        <v>31173.976800208919</v>
      </c>
      <c r="I141" s="317">
        <f t="shared" si="36"/>
        <v>31173.976800208919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4"/>
        <v/>
      </c>
      <c r="C142" s="157">
        <f>IF(D93="","-",+C141+1)</f>
        <v>2052</v>
      </c>
      <c r="D142" s="158">
        <f>IF(F141+SUM(E$99:E141)=D$92,F141,D$92-SUM(E$99:E141))</f>
        <v>82848</v>
      </c>
      <c r="E142" s="165">
        <f>IF(+J96&lt;F141,J96,D142)</f>
        <v>19432</v>
      </c>
      <c r="F142" s="163">
        <f t="shared" si="29"/>
        <v>63416</v>
      </c>
      <c r="G142" s="163">
        <f t="shared" si="30"/>
        <v>73132</v>
      </c>
      <c r="H142" s="167">
        <f t="shared" si="35"/>
        <v>28708.978602403513</v>
      </c>
      <c r="I142" s="317">
        <f t="shared" si="36"/>
        <v>28708.978602403513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4"/>
        <v/>
      </c>
      <c r="C143" s="157">
        <f>IF(D93="","-",+C142+1)</f>
        <v>2053</v>
      </c>
      <c r="D143" s="158">
        <f>IF(F142+SUM(E$99:E142)=D$92,F142,D$92-SUM(E$99:E142))</f>
        <v>63416</v>
      </c>
      <c r="E143" s="165">
        <f>IF(+J96&lt;F142,J96,D143)</f>
        <v>19432</v>
      </c>
      <c r="F143" s="163">
        <f t="shared" si="29"/>
        <v>43984</v>
      </c>
      <c r="G143" s="163">
        <f t="shared" si="30"/>
        <v>53700</v>
      </c>
      <c r="H143" s="167">
        <f t="shared" si="35"/>
        <v>26243.980404598107</v>
      </c>
      <c r="I143" s="317">
        <f t="shared" si="36"/>
        <v>26243.980404598107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4"/>
        <v/>
      </c>
      <c r="C144" s="157">
        <f>IF(D93="","-",+C143+1)</f>
        <v>2054</v>
      </c>
      <c r="D144" s="158">
        <f>IF(F143+SUM(E$99:E143)=D$92,F143,D$92-SUM(E$99:E143))</f>
        <v>43984</v>
      </c>
      <c r="E144" s="165">
        <f>IF(+J96&lt;F143,J96,D144)</f>
        <v>19432</v>
      </c>
      <c r="F144" s="163">
        <f t="shared" si="29"/>
        <v>24552</v>
      </c>
      <c r="G144" s="163">
        <f t="shared" si="30"/>
        <v>34268</v>
      </c>
      <c r="H144" s="167">
        <f t="shared" si="35"/>
        <v>23778.982206792698</v>
      </c>
      <c r="I144" s="317">
        <f t="shared" si="36"/>
        <v>23778.982206792698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4"/>
        <v/>
      </c>
      <c r="C145" s="157">
        <f>IF(D93="","-",+C144+1)</f>
        <v>2055</v>
      </c>
      <c r="D145" s="158">
        <f>IF(F144+SUM(E$99:E144)=D$92,F144,D$92-SUM(E$99:E144))</f>
        <v>24552</v>
      </c>
      <c r="E145" s="165">
        <f>IF(+J96&lt;F144,J96,D145)</f>
        <v>19432</v>
      </c>
      <c r="F145" s="163">
        <f t="shared" si="29"/>
        <v>5120</v>
      </c>
      <c r="G145" s="163">
        <f t="shared" si="30"/>
        <v>14836</v>
      </c>
      <c r="H145" s="167">
        <f t="shared" si="35"/>
        <v>21313.984008987289</v>
      </c>
      <c r="I145" s="317">
        <f t="shared" si="36"/>
        <v>21313.984008987289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4"/>
        <v/>
      </c>
      <c r="C146" s="157">
        <f>IF(D93="","-",+C145+1)</f>
        <v>2056</v>
      </c>
      <c r="D146" s="158">
        <f>IF(F145+SUM(E$99:E145)=D$92,F145,D$92-SUM(E$99:E145))</f>
        <v>5120</v>
      </c>
      <c r="E146" s="165">
        <f>IF(+J96&lt;F145,J96,D146)</f>
        <v>5120</v>
      </c>
      <c r="F146" s="163">
        <f t="shared" si="29"/>
        <v>0</v>
      </c>
      <c r="G146" s="163">
        <f t="shared" si="30"/>
        <v>2560</v>
      </c>
      <c r="H146" s="167">
        <f t="shared" si="35"/>
        <v>5444.7424550422929</v>
      </c>
      <c r="I146" s="317">
        <f t="shared" si="36"/>
        <v>5444.7424550422929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4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35"/>
        <v>0</v>
      </c>
      <c r="I147" s="317">
        <f t="shared" si="36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4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35"/>
        <v>0</v>
      </c>
      <c r="I148" s="317">
        <f t="shared" si="36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4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35"/>
        <v>0</v>
      </c>
      <c r="I149" s="317">
        <f t="shared" si="36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4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35"/>
        <v>0</v>
      </c>
      <c r="I150" s="317">
        <f t="shared" si="36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4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35"/>
        <v>0</v>
      </c>
      <c r="I151" s="317">
        <f t="shared" si="36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4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35"/>
        <v>0</v>
      </c>
      <c r="I152" s="317">
        <f t="shared" si="36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4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35"/>
        <v>0</v>
      </c>
      <c r="I153" s="317">
        <f t="shared" si="36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4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35"/>
        <v>0</v>
      </c>
      <c r="I154" s="318">
        <f t="shared" si="36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893858</v>
      </c>
      <c r="F155" s="115"/>
      <c r="G155" s="115"/>
      <c r="H155" s="115">
        <f>SUM(H99:H154)</f>
        <v>3681338.5737540475</v>
      </c>
      <c r="I155" s="115">
        <f>SUM(I99:I154)</f>
        <v>3681338.5737540475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46" t="s">
        <v>140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2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532941.26061774243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532941.26061774243</v>
      </c>
      <c r="O6" s="1"/>
      <c r="P6" s="1"/>
    </row>
    <row r="7" spans="1:16" ht="13.5" thickBot="1">
      <c r="C7" s="127" t="s">
        <v>41</v>
      </c>
      <c r="D7" s="343" t="s">
        <v>202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75</v>
      </c>
      <c r="E9" s="428" t="s">
        <v>302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4688896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117222.39999999999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6704177</v>
      </c>
      <c r="E17" s="367">
        <v>73788</v>
      </c>
      <c r="F17" s="366">
        <v>6630389</v>
      </c>
      <c r="G17" s="367">
        <v>750999</v>
      </c>
      <c r="H17" s="367">
        <v>750999</v>
      </c>
      <c r="I17" s="160">
        <f t="shared" ref="I17:I48" si="0">H17-G17</f>
        <v>0</v>
      </c>
      <c r="J17" s="160"/>
      <c r="K17" s="338">
        <v>750999</v>
      </c>
      <c r="L17" s="161">
        <f t="shared" ref="L17:L48" si="1">IF(K17&lt;&gt;0,+G17-K17,0)</f>
        <v>0</v>
      </c>
      <c r="M17" s="338">
        <v>750999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4651603</v>
      </c>
      <c r="E18" s="368">
        <v>84382</v>
      </c>
      <c r="F18" s="371">
        <v>4567221</v>
      </c>
      <c r="G18" s="368">
        <v>743416</v>
      </c>
      <c r="H18" s="370">
        <v>743416</v>
      </c>
      <c r="I18" s="160">
        <f t="shared" si="0"/>
        <v>0</v>
      </c>
      <c r="J18" s="160"/>
      <c r="K18" s="338">
        <f t="shared" ref="K18:K23" si="4">G18</f>
        <v>743416</v>
      </c>
      <c r="L18" s="272">
        <f t="shared" si="1"/>
        <v>0</v>
      </c>
      <c r="M18" s="338">
        <f t="shared" ref="M18:M23" si="5">H18</f>
        <v>743416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71">
        <v>4530726</v>
      </c>
      <c r="E19" s="368">
        <v>91939.137254901958</v>
      </c>
      <c r="F19" s="371">
        <v>4438786.8627450978</v>
      </c>
      <c r="G19" s="368">
        <v>786801.66702531651</v>
      </c>
      <c r="H19" s="370">
        <v>786801.66702531651</v>
      </c>
      <c r="I19" s="160">
        <f t="shared" si="0"/>
        <v>0</v>
      </c>
      <c r="J19" s="160"/>
      <c r="K19" s="338">
        <f t="shared" si="4"/>
        <v>786801.66702531651</v>
      </c>
      <c r="L19" s="272">
        <f t="shared" si="1"/>
        <v>0</v>
      </c>
      <c r="M19" s="338">
        <f t="shared" si="5"/>
        <v>786801.66702531651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71">
        <v>4438786.8627450978</v>
      </c>
      <c r="E20" s="368">
        <v>90171.076923076922</v>
      </c>
      <c r="F20" s="371">
        <v>4348615.7858220208</v>
      </c>
      <c r="G20" s="368">
        <v>695527.67751323315</v>
      </c>
      <c r="H20" s="370">
        <v>695527.67751323315</v>
      </c>
      <c r="I20" s="160">
        <f t="shared" si="0"/>
        <v>0</v>
      </c>
      <c r="J20" s="160"/>
      <c r="K20" s="338">
        <f t="shared" si="4"/>
        <v>695527.67751323315</v>
      </c>
      <c r="L20" s="272">
        <f t="shared" si="1"/>
        <v>0</v>
      </c>
      <c r="M20" s="338">
        <f t="shared" si="5"/>
        <v>695527.67751323315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71">
        <v>4348615.7858220208</v>
      </c>
      <c r="E21" s="368">
        <v>90171.076923076922</v>
      </c>
      <c r="F21" s="371">
        <v>4258444.7088989438</v>
      </c>
      <c r="G21" s="368">
        <v>698305.7699783385</v>
      </c>
      <c r="H21" s="370">
        <v>698305.7699783385</v>
      </c>
      <c r="I21" s="160">
        <v>0</v>
      </c>
      <c r="J21" s="160"/>
      <c r="K21" s="338">
        <f t="shared" si="4"/>
        <v>698305.7699783385</v>
      </c>
      <c r="L21" s="272">
        <f t="shared" ref="L21:L26" si="7">IF(K21&lt;&gt;0,+G21-K21,0)</f>
        <v>0</v>
      </c>
      <c r="M21" s="338">
        <f t="shared" si="5"/>
        <v>698305.7699783385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4258444.7088989438</v>
      </c>
      <c r="E22" s="368">
        <v>90171.076923076922</v>
      </c>
      <c r="F22" s="371">
        <v>4168273.6319758669</v>
      </c>
      <c r="G22" s="368">
        <v>663970.48849892756</v>
      </c>
      <c r="H22" s="370">
        <v>663970.48849892756</v>
      </c>
      <c r="I22" s="160">
        <v>0</v>
      </c>
      <c r="J22" s="160"/>
      <c r="K22" s="338">
        <f t="shared" si="4"/>
        <v>663970.48849892756</v>
      </c>
      <c r="L22" s="272">
        <f t="shared" si="7"/>
        <v>0</v>
      </c>
      <c r="M22" s="338">
        <f t="shared" si="5"/>
        <v>663970.48849892756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71">
        <v>4168273.6319758669</v>
      </c>
      <c r="E23" s="368">
        <v>90171.076923076922</v>
      </c>
      <c r="F23" s="371">
        <v>4078102.5550527899</v>
      </c>
      <c r="G23" s="368">
        <v>652425.83265151177</v>
      </c>
      <c r="H23" s="370">
        <v>652425.83265151177</v>
      </c>
      <c r="I23" s="160">
        <v>0</v>
      </c>
      <c r="J23" s="160"/>
      <c r="K23" s="338">
        <f t="shared" si="4"/>
        <v>652425.83265151177</v>
      </c>
      <c r="L23" s="272">
        <f t="shared" si="7"/>
        <v>0</v>
      </c>
      <c r="M23" s="338">
        <f t="shared" si="5"/>
        <v>652425.83265151177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4078102.5550527899</v>
      </c>
      <c r="E24" s="368">
        <v>90171.076923076922</v>
      </c>
      <c r="F24" s="371">
        <v>3987931.4781297129</v>
      </c>
      <c r="G24" s="368">
        <v>613226.71011811122</v>
      </c>
      <c r="H24" s="370">
        <v>613226.71011811122</v>
      </c>
      <c r="I24" s="160">
        <f t="shared" si="0"/>
        <v>0</v>
      </c>
      <c r="J24" s="160"/>
      <c r="K24" s="338">
        <f>G24</f>
        <v>613226.71011811122</v>
      </c>
      <c r="L24" s="272">
        <f t="shared" si="7"/>
        <v>0</v>
      </c>
      <c r="M24" s="338">
        <f>H24</f>
        <v>613226.71011811122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3987931.4781297129</v>
      </c>
      <c r="E25" s="368">
        <v>101932.52173913043</v>
      </c>
      <c r="F25" s="371">
        <v>3885998.9563905825</v>
      </c>
      <c r="G25" s="368">
        <v>596467.2930849425</v>
      </c>
      <c r="H25" s="370">
        <v>596467.2930849425</v>
      </c>
      <c r="I25" s="160">
        <v>0</v>
      </c>
      <c r="J25" s="378"/>
      <c r="K25" s="338">
        <f>G25</f>
        <v>596467.2930849425</v>
      </c>
      <c r="L25" s="272">
        <f t="shared" si="7"/>
        <v>0</v>
      </c>
      <c r="M25" s="338">
        <f>H25</f>
        <v>596467.2930849425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3885998.9563905825</v>
      </c>
      <c r="E26" s="368">
        <v>104197.68888888889</v>
      </c>
      <c r="F26" s="371">
        <v>3781801.2675016937</v>
      </c>
      <c r="G26" s="368">
        <v>563341.50507496181</v>
      </c>
      <c r="H26" s="370">
        <v>563341.50507496181</v>
      </c>
      <c r="I26" s="160">
        <f t="shared" si="0"/>
        <v>0</v>
      </c>
      <c r="J26" s="378"/>
      <c r="K26" s="338">
        <f>G26</f>
        <v>563341.50507496181</v>
      </c>
      <c r="L26" s="272">
        <f t="shared" si="7"/>
        <v>0</v>
      </c>
      <c r="M26" s="338">
        <f>H26</f>
        <v>563341.50507496181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3">
        <f>IF(F26+SUM(E$17:E26)=D$10,F26,D$10-SUM(E$17:E26))</f>
        <v>3781801.2675016937</v>
      </c>
      <c r="E27" s="164">
        <f>IF(+I14&lt;F26,I14,D27)</f>
        <v>117222.39999999999</v>
      </c>
      <c r="F27" s="163">
        <f t="shared" ref="F27:F48" si="10">+D27-E27</f>
        <v>3664578.8675016938</v>
      </c>
      <c r="G27" s="165">
        <f t="shared" ref="G27:G72" si="11">(D27+F27)/2*I$12+E27</f>
        <v>532941.26061774243</v>
      </c>
      <c r="H27" s="147">
        <f t="shared" ref="H27:H72" si="12">+(D27+F27)/2*I$13+E27</f>
        <v>532941.26061774243</v>
      </c>
      <c r="I27" s="160">
        <f t="shared" si="0"/>
        <v>0</v>
      </c>
      <c r="J27" s="379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3664578.8675016938</v>
      </c>
      <c r="E28" s="164">
        <f>IF(+I14&lt;F27,I14,D28)</f>
        <v>117222.39999999999</v>
      </c>
      <c r="F28" s="163">
        <f t="shared" si="10"/>
        <v>3547356.4675016939</v>
      </c>
      <c r="G28" s="165">
        <f t="shared" si="11"/>
        <v>519852.60232112824</v>
      </c>
      <c r="H28" s="147">
        <f t="shared" si="12"/>
        <v>519852.60232112824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3547356.4675016939</v>
      </c>
      <c r="E29" s="164">
        <f>IF(+I14&lt;F28,I14,D29)</f>
        <v>117222.39999999999</v>
      </c>
      <c r="F29" s="163">
        <f t="shared" si="10"/>
        <v>3430134.067501694</v>
      </c>
      <c r="G29" s="165">
        <f t="shared" si="11"/>
        <v>506763.94402451417</v>
      </c>
      <c r="H29" s="147">
        <f t="shared" si="12"/>
        <v>506763.94402451417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3430134.067501694</v>
      </c>
      <c r="E30" s="164">
        <f>IF(+I14&lt;F29,I14,D30)</f>
        <v>117222.39999999999</v>
      </c>
      <c r="F30" s="163">
        <f t="shared" si="10"/>
        <v>3312911.6675016941</v>
      </c>
      <c r="G30" s="165">
        <f t="shared" si="11"/>
        <v>493675.2857279001</v>
      </c>
      <c r="H30" s="147">
        <f t="shared" si="12"/>
        <v>493675.2857279001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3312911.6675016941</v>
      </c>
      <c r="E31" s="164">
        <f>IF(+I14&lt;F30,I14,D31)</f>
        <v>117222.39999999999</v>
      </c>
      <c r="F31" s="163">
        <f t="shared" si="10"/>
        <v>3195689.2675016942</v>
      </c>
      <c r="G31" s="165">
        <f t="shared" si="11"/>
        <v>480586.62743128603</v>
      </c>
      <c r="H31" s="147">
        <f t="shared" si="12"/>
        <v>480586.62743128603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3195689.2675016942</v>
      </c>
      <c r="E32" s="164">
        <f>IF(+I14&lt;F31,I14,D32)</f>
        <v>117222.39999999999</v>
      </c>
      <c r="F32" s="163">
        <f t="shared" si="10"/>
        <v>3078466.8675016942</v>
      </c>
      <c r="G32" s="165">
        <f t="shared" si="11"/>
        <v>467497.96913467185</v>
      </c>
      <c r="H32" s="147">
        <f t="shared" si="12"/>
        <v>467497.96913467185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3078466.8675016942</v>
      </c>
      <c r="E33" s="164">
        <f>IF(+I14&lt;F32,I14,D33)</f>
        <v>117222.39999999999</v>
      </c>
      <c r="F33" s="163">
        <f t="shared" si="10"/>
        <v>2961244.4675016943</v>
      </c>
      <c r="G33" s="165">
        <f t="shared" si="11"/>
        <v>454409.31083805789</v>
      </c>
      <c r="H33" s="147">
        <f t="shared" si="12"/>
        <v>454409.31083805789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2961244.4675016943</v>
      </c>
      <c r="E34" s="164">
        <f>IF(+I14&lt;F33,I14,D34)</f>
        <v>117222.39999999999</v>
      </c>
      <c r="F34" s="163">
        <f t="shared" si="10"/>
        <v>2844022.0675016944</v>
      </c>
      <c r="G34" s="165">
        <f t="shared" si="11"/>
        <v>441320.65254144371</v>
      </c>
      <c r="H34" s="147">
        <f t="shared" si="12"/>
        <v>441320.65254144371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2844022.0675016944</v>
      </c>
      <c r="E35" s="164">
        <f>IF(+I14&lt;F34,I14,D35)</f>
        <v>117222.39999999999</v>
      </c>
      <c r="F35" s="163">
        <f t="shared" si="10"/>
        <v>2726799.6675016945</v>
      </c>
      <c r="G35" s="165">
        <f t="shared" si="11"/>
        <v>428231.99424482964</v>
      </c>
      <c r="H35" s="147">
        <f t="shared" si="12"/>
        <v>428231.99424482964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2726799.6675016945</v>
      </c>
      <c r="E36" s="164">
        <f>IF(+I14&lt;F35,I14,D36)</f>
        <v>117222.39999999999</v>
      </c>
      <c r="F36" s="163">
        <f t="shared" si="10"/>
        <v>2609577.2675016946</v>
      </c>
      <c r="G36" s="165">
        <f t="shared" si="11"/>
        <v>415143.33594821556</v>
      </c>
      <c r="H36" s="147">
        <f t="shared" si="12"/>
        <v>415143.33594821556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2609577.2675016946</v>
      </c>
      <c r="E37" s="164">
        <f>IF(+I14&lt;F36,I14,D37)</f>
        <v>117222.39999999999</v>
      </c>
      <c r="F37" s="163">
        <f t="shared" si="10"/>
        <v>2492354.8675016947</v>
      </c>
      <c r="G37" s="165">
        <f t="shared" si="11"/>
        <v>402054.67765160149</v>
      </c>
      <c r="H37" s="147">
        <f t="shared" si="12"/>
        <v>402054.67765160149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2492354.8675016947</v>
      </c>
      <c r="E38" s="164">
        <f>IF(+I14&lt;F37,I14,D38)</f>
        <v>117222.39999999999</v>
      </c>
      <c r="F38" s="163">
        <f t="shared" si="10"/>
        <v>2375132.4675016948</v>
      </c>
      <c r="G38" s="165">
        <f t="shared" si="11"/>
        <v>388966.01935498742</v>
      </c>
      <c r="H38" s="147">
        <f t="shared" si="12"/>
        <v>388966.01935498742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2375132.4675016948</v>
      </c>
      <c r="E39" s="164">
        <f>IF(+I14&lt;F38,I14,D39)</f>
        <v>117222.39999999999</v>
      </c>
      <c r="F39" s="163">
        <f t="shared" si="10"/>
        <v>2257910.0675016949</v>
      </c>
      <c r="G39" s="165">
        <f t="shared" si="11"/>
        <v>375877.36105837335</v>
      </c>
      <c r="H39" s="147">
        <f t="shared" si="12"/>
        <v>375877.36105837335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2257910.0675016949</v>
      </c>
      <c r="E40" s="164">
        <f>IF(+I14&lt;F39,I14,D40)</f>
        <v>117222.39999999999</v>
      </c>
      <c r="F40" s="163">
        <f t="shared" si="10"/>
        <v>2140687.667501695</v>
      </c>
      <c r="G40" s="165">
        <f t="shared" si="11"/>
        <v>362788.70276175917</v>
      </c>
      <c r="H40" s="147">
        <f t="shared" si="12"/>
        <v>362788.70276175917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2140687.667501695</v>
      </c>
      <c r="E41" s="164">
        <f>IF(+I14&lt;F40,I14,D41)</f>
        <v>117222.39999999999</v>
      </c>
      <c r="F41" s="163">
        <f t="shared" si="10"/>
        <v>2023465.2675016951</v>
      </c>
      <c r="G41" s="165">
        <f t="shared" si="11"/>
        <v>349700.04446514515</v>
      </c>
      <c r="H41" s="147">
        <f t="shared" si="12"/>
        <v>349700.04446514515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2023465.2675016951</v>
      </c>
      <c r="E42" s="164">
        <f>IF(+I14&lt;F41,I14,D42)</f>
        <v>117222.39999999999</v>
      </c>
      <c r="F42" s="163">
        <f t="shared" si="10"/>
        <v>1906242.8675016952</v>
      </c>
      <c r="G42" s="165">
        <f t="shared" si="11"/>
        <v>336611.38616853103</v>
      </c>
      <c r="H42" s="147">
        <f t="shared" si="12"/>
        <v>336611.38616853103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1906242.8675016952</v>
      </c>
      <c r="E43" s="164">
        <f>IF(+I14&lt;F42,I14,D43)</f>
        <v>117222.39999999999</v>
      </c>
      <c r="F43" s="163">
        <f t="shared" si="10"/>
        <v>1789020.4675016953</v>
      </c>
      <c r="G43" s="165">
        <f t="shared" si="11"/>
        <v>323522.72787191696</v>
      </c>
      <c r="H43" s="147">
        <f t="shared" si="12"/>
        <v>323522.72787191696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1789020.4675016953</v>
      </c>
      <c r="E44" s="164">
        <f>IF(+I14&lt;F43,I14,D44)</f>
        <v>117222.39999999999</v>
      </c>
      <c r="F44" s="163">
        <f t="shared" si="10"/>
        <v>1671798.0675016954</v>
      </c>
      <c r="G44" s="165">
        <f t="shared" si="11"/>
        <v>310434.06957530288</v>
      </c>
      <c r="H44" s="147">
        <f t="shared" si="12"/>
        <v>310434.06957530288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1671798.0675016954</v>
      </c>
      <c r="E45" s="164">
        <f>IF(+I14&lt;F44,I14,D45)</f>
        <v>117222.39999999999</v>
      </c>
      <c r="F45" s="163">
        <f t="shared" si="10"/>
        <v>1554575.6675016955</v>
      </c>
      <c r="G45" s="165">
        <f t="shared" si="11"/>
        <v>297345.41127868881</v>
      </c>
      <c r="H45" s="147">
        <f t="shared" si="12"/>
        <v>297345.41127868881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1554575.6675016955</v>
      </c>
      <c r="E46" s="164">
        <f>IF(+I14&lt;F45,I14,D46)</f>
        <v>117222.39999999999</v>
      </c>
      <c r="F46" s="163">
        <f t="shared" si="10"/>
        <v>1437353.2675016955</v>
      </c>
      <c r="G46" s="165">
        <f t="shared" si="11"/>
        <v>284256.75298207474</v>
      </c>
      <c r="H46" s="147">
        <f t="shared" si="12"/>
        <v>284256.75298207474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1437353.2675016955</v>
      </c>
      <c r="E47" s="164">
        <f>IF(+I14&lt;F46,I14,D47)</f>
        <v>117222.39999999999</v>
      </c>
      <c r="F47" s="163">
        <f t="shared" si="10"/>
        <v>1320130.8675016956</v>
      </c>
      <c r="G47" s="165">
        <f t="shared" si="11"/>
        <v>271168.09468546062</v>
      </c>
      <c r="H47" s="147">
        <f t="shared" si="12"/>
        <v>271168.09468546062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1320130.8675016956</v>
      </c>
      <c r="E48" s="164">
        <f>IF(+I14&lt;F47,I14,D48)</f>
        <v>117222.39999999999</v>
      </c>
      <c r="F48" s="163">
        <f t="shared" si="10"/>
        <v>1202908.4675016957</v>
      </c>
      <c r="G48" s="165">
        <f t="shared" si="11"/>
        <v>258079.43638884655</v>
      </c>
      <c r="H48" s="147">
        <f t="shared" si="12"/>
        <v>258079.43638884655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1202908.4675016957</v>
      </c>
      <c r="E49" s="164">
        <f>IF(+I14&lt;F48,I14,D49)</f>
        <v>117222.39999999999</v>
      </c>
      <c r="F49" s="163">
        <f t="shared" ref="F49:F72" si="13">+D49-E49</f>
        <v>1085686.0675016958</v>
      </c>
      <c r="G49" s="165">
        <f t="shared" si="11"/>
        <v>244990.77809223247</v>
      </c>
      <c r="H49" s="147">
        <f t="shared" si="12"/>
        <v>244990.77809223247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1085686.0675016958</v>
      </c>
      <c r="E50" s="164">
        <f>IF(+I14&lt;F49,I14,D50)</f>
        <v>117222.39999999999</v>
      </c>
      <c r="F50" s="163">
        <f t="shared" si="13"/>
        <v>968463.6675016958</v>
      </c>
      <c r="G50" s="165">
        <f t="shared" si="11"/>
        <v>231902.11979561838</v>
      </c>
      <c r="H50" s="147">
        <f t="shared" si="12"/>
        <v>231902.11979561838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968463.6675016958</v>
      </c>
      <c r="E51" s="164">
        <f>IF(+I14&lt;F50,I14,D51)</f>
        <v>117222.39999999999</v>
      </c>
      <c r="F51" s="163">
        <f t="shared" si="13"/>
        <v>851241.26750169578</v>
      </c>
      <c r="G51" s="165">
        <f t="shared" si="11"/>
        <v>218813.46149900428</v>
      </c>
      <c r="H51" s="147">
        <f t="shared" si="12"/>
        <v>218813.46149900428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851241.26750169578</v>
      </c>
      <c r="E52" s="164">
        <f>IF(+I14&lt;F51,I14,D52)</f>
        <v>117222.39999999999</v>
      </c>
      <c r="F52" s="163">
        <f t="shared" si="13"/>
        <v>734018.86750169576</v>
      </c>
      <c r="G52" s="165">
        <f t="shared" si="11"/>
        <v>205724.80320239018</v>
      </c>
      <c r="H52" s="147">
        <f t="shared" si="12"/>
        <v>205724.80320239018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734018.86750169576</v>
      </c>
      <c r="E53" s="164">
        <f>IF(+I14&lt;F52,I14,D53)</f>
        <v>117222.39999999999</v>
      </c>
      <c r="F53" s="163">
        <f t="shared" si="13"/>
        <v>616796.46750169573</v>
      </c>
      <c r="G53" s="165">
        <f t="shared" si="11"/>
        <v>192636.14490577608</v>
      </c>
      <c r="H53" s="147">
        <f t="shared" si="12"/>
        <v>192636.14490577608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616796.46750169573</v>
      </c>
      <c r="E54" s="164">
        <f>IF(+I14&lt;F53,I14,D54)</f>
        <v>117222.39999999999</v>
      </c>
      <c r="F54" s="163">
        <f t="shared" si="13"/>
        <v>499574.06750169571</v>
      </c>
      <c r="G54" s="165">
        <f t="shared" si="11"/>
        <v>179547.48660916198</v>
      </c>
      <c r="H54" s="147">
        <f t="shared" si="12"/>
        <v>179547.48660916198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499574.06750169571</v>
      </c>
      <c r="E55" s="164">
        <f>IF(+I14&lt;F54,I14,D55)</f>
        <v>117222.39999999999</v>
      </c>
      <c r="F55" s="163">
        <f t="shared" si="13"/>
        <v>382351.66750169569</v>
      </c>
      <c r="G55" s="165">
        <f t="shared" si="11"/>
        <v>166458.82831254788</v>
      </c>
      <c r="H55" s="147">
        <f t="shared" si="12"/>
        <v>166458.82831254788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382351.66750169569</v>
      </c>
      <c r="E56" s="164">
        <f>IF(+I14&lt;F55,I14,D56)</f>
        <v>117222.39999999999</v>
      </c>
      <c r="F56" s="163">
        <f t="shared" si="13"/>
        <v>265129.26750169566</v>
      </c>
      <c r="G56" s="165">
        <f t="shared" si="11"/>
        <v>153370.17001593378</v>
      </c>
      <c r="H56" s="147">
        <f t="shared" si="12"/>
        <v>153370.17001593378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265129.26750169566</v>
      </c>
      <c r="E57" s="164">
        <f>IF(+I14&lt;F56,I14,D57)</f>
        <v>117222.39999999999</v>
      </c>
      <c r="F57" s="163">
        <f t="shared" si="13"/>
        <v>147906.86750169567</v>
      </c>
      <c r="G57" s="165">
        <f t="shared" si="11"/>
        <v>140281.51171931968</v>
      </c>
      <c r="H57" s="147">
        <f t="shared" si="12"/>
        <v>140281.51171931968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147906.86750169567</v>
      </c>
      <c r="E58" s="164">
        <f>IF(+I14&lt;F57,I14,D58)</f>
        <v>117222.39999999999</v>
      </c>
      <c r="F58" s="163">
        <f t="shared" si="13"/>
        <v>30684.467501695675</v>
      </c>
      <c r="G58" s="165">
        <f t="shared" si="11"/>
        <v>127192.85342270558</v>
      </c>
      <c r="H58" s="147">
        <f t="shared" si="12"/>
        <v>127192.85342270558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30684.467501695675</v>
      </c>
      <c r="E59" s="164">
        <f>IF(+I14&lt;F58,I14,D59)</f>
        <v>30684.467501695675</v>
      </c>
      <c r="F59" s="163">
        <f t="shared" si="13"/>
        <v>0</v>
      </c>
      <c r="G59" s="165">
        <f t="shared" si="11"/>
        <v>32397.529638894943</v>
      </c>
      <c r="H59" s="147">
        <f t="shared" si="12"/>
        <v>32397.529638894943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4688896</v>
      </c>
      <c r="F73" s="115"/>
      <c r="G73" s="115">
        <f>SUM(G17:G72)</f>
        <v>17359025.298231404</v>
      </c>
      <c r="H73" s="115">
        <f>SUM(H17:H72)</f>
        <v>17359025.298231404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2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596467.2930849425</v>
      </c>
      <c r="N87" s="202">
        <f>IF(J92&lt;D11,0,VLOOKUP(J92,C17:O72,11))</f>
        <v>596467.2930849425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602236.76208219538</v>
      </c>
      <c r="N88" s="204">
        <f>IF(J92&lt;D11,0,VLOOKUP(J92,C99:P154,7))</f>
        <v>602236.76208219538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Craig Jct. to Broken Bow Dam 138 Rebuild (7.7mi)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5769.4689972528722</v>
      </c>
      <c r="N89" s="207">
        <f>+N88-N87</f>
        <v>5769.4689972528722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TP2007059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4688896.139999995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101933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49223</v>
      </c>
      <c r="F99" s="371">
        <v>4676168</v>
      </c>
      <c r="G99" s="373">
        <v>2338084</v>
      </c>
      <c r="H99" s="374">
        <v>391070</v>
      </c>
      <c r="I99" s="375">
        <v>391070</v>
      </c>
      <c r="J99" s="162">
        <f t="shared" ref="J99:J130" si="18">+I99-H99</f>
        <v>0</v>
      </c>
      <c r="K99" s="162"/>
      <c r="L99" s="338">
        <f t="shared" ref="L99:L104" si="19">H99</f>
        <v>391070</v>
      </c>
      <c r="M99" s="161">
        <f t="shared" ref="M99:M130" si="20">IF(L99&lt;&gt;0,+H99-L99,0)</f>
        <v>0</v>
      </c>
      <c r="N99" s="338">
        <f t="shared" ref="N99:N104" si="21">I99</f>
        <v>391070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6">
        <v>4639673.1399999997</v>
      </c>
      <c r="E100" s="368">
        <v>91939</v>
      </c>
      <c r="F100" s="371">
        <v>4547734.1399999997</v>
      </c>
      <c r="G100" s="371">
        <v>4593703.6399999997</v>
      </c>
      <c r="H100" s="368">
        <v>830676.46951907186</v>
      </c>
      <c r="I100" s="370">
        <v>830676.46951907186</v>
      </c>
      <c r="J100" s="162">
        <f t="shared" si="18"/>
        <v>0</v>
      </c>
      <c r="K100" s="162"/>
      <c r="L100" s="380">
        <f t="shared" si="19"/>
        <v>830676.46951907186</v>
      </c>
      <c r="M100" s="381">
        <f t="shared" si="20"/>
        <v>0</v>
      </c>
      <c r="N100" s="380">
        <f t="shared" si="21"/>
        <v>830676.46951907186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405">
        <f>IF(D93="","-",+C100+1)</f>
        <v>2011</v>
      </c>
      <c r="D101" s="366">
        <v>4547734.1399999997</v>
      </c>
      <c r="E101" s="368">
        <v>90171</v>
      </c>
      <c r="F101" s="371">
        <v>4457563.1399999997</v>
      </c>
      <c r="G101" s="371">
        <v>4502648.6399999997</v>
      </c>
      <c r="H101" s="368">
        <v>719701.78616364778</v>
      </c>
      <c r="I101" s="370">
        <v>719701.78616364778</v>
      </c>
      <c r="J101" s="162">
        <f t="shared" si="18"/>
        <v>0</v>
      </c>
      <c r="K101" s="162"/>
      <c r="L101" s="380">
        <f t="shared" si="19"/>
        <v>719701.78616364778</v>
      </c>
      <c r="M101" s="381">
        <f t="shared" si="20"/>
        <v>0</v>
      </c>
      <c r="N101" s="380">
        <f t="shared" si="21"/>
        <v>719701.78616364778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157">
        <f>IF(D93="","-",+C101+1)</f>
        <v>2012</v>
      </c>
      <c r="D102" s="366">
        <v>4457563.1399999997</v>
      </c>
      <c r="E102" s="368">
        <v>90171</v>
      </c>
      <c r="F102" s="371">
        <v>4367392.1399999997</v>
      </c>
      <c r="G102" s="371">
        <v>4412477.6399999997</v>
      </c>
      <c r="H102" s="368">
        <v>724930.09682284109</v>
      </c>
      <c r="I102" s="370">
        <v>724930.09682284109</v>
      </c>
      <c r="J102" s="162">
        <v>0</v>
      </c>
      <c r="K102" s="162"/>
      <c r="L102" s="380">
        <f t="shared" si="19"/>
        <v>724930.09682284109</v>
      </c>
      <c r="M102" s="381">
        <f>IF(L102&lt;&gt;0,+H102-L102,0)</f>
        <v>0</v>
      </c>
      <c r="N102" s="380">
        <f t="shared" si="21"/>
        <v>724930.09682284109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2013</v>
      </c>
      <c r="D103" s="366">
        <v>4367392.1399999997</v>
      </c>
      <c r="E103" s="368">
        <v>90171</v>
      </c>
      <c r="F103" s="371">
        <v>4277221.1399999997</v>
      </c>
      <c r="G103" s="371">
        <v>4322306.6399999997</v>
      </c>
      <c r="H103" s="368">
        <v>712322.06264393788</v>
      </c>
      <c r="I103" s="370">
        <v>712322.06264393788</v>
      </c>
      <c r="J103" s="162">
        <v>0</v>
      </c>
      <c r="K103" s="162"/>
      <c r="L103" s="380">
        <f t="shared" si="19"/>
        <v>712322.06264393788</v>
      </c>
      <c r="M103" s="381">
        <f>IF(L103&lt;&gt;0,+H103-L103,0)</f>
        <v>0</v>
      </c>
      <c r="N103" s="380">
        <f t="shared" si="21"/>
        <v>712322.06264393788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2014</v>
      </c>
      <c r="D104" s="366">
        <v>4277221.1399999997</v>
      </c>
      <c r="E104" s="368">
        <v>90171</v>
      </c>
      <c r="F104" s="371">
        <v>4187050.1399999997</v>
      </c>
      <c r="G104" s="371">
        <v>4232135.6399999997</v>
      </c>
      <c r="H104" s="368">
        <v>685191.9710405051</v>
      </c>
      <c r="I104" s="370">
        <v>685191.9710405051</v>
      </c>
      <c r="J104" s="162">
        <v>0</v>
      </c>
      <c r="K104" s="162"/>
      <c r="L104" s="380">
        <f t="shared" si="19"/>
        <v>685191.9710405051</v>
      </c>
      <c r="M104" s="381">
        <f>IF(L104&lt;&gt;0,+H104-L104,0)</f>
        <v>0</v>
      </c>
      <c r="N104" s="380">
        <f t="shared" si="21"/>
        <v>685191.9710405051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2015</v>
      </c>
      <c r="D105" s="366">
        <v>4187050.1399999997</v>
      </c>
      <c r="E105" s="368">
        <v>90171</v>
      </c>
      <c r="F105" s="371">
        <v>4096879.1399999997</v>
      </c>
      <c r="G105" s="371">
        <v>4141964.6399999997</v>
      </c>
      <c r="H105" s="368">
        <v>655308.7720911433</v>
      </c>
      <c r="I105" s="370">
        <v>655308.7720911433</v>
      </c>
      <c r="J105" s="162">
        <f t="shared" si="18"/>
        <v>0</v>
      </c>
      <c r="K105" s="162"/>
      <c r="L105" s="380">
        <f>H105</f>
        <v>655308.7720911433</v>
      </c>
      <c r="M105" s="381">
        <f>IF(L105&lt;&gt;0,+H105-L105,0)</f>
        <v>0</v>
      </c>
      <c r="N105" s="380">
        <f>I105</f>
        <v>655308.7720911433</v>
      </c>
      <c r="O105" s="162">
        <f t="shared" si="22"/>
        <v>0</v>
      </c>
      <c r="P105" s="162">
        <f t="shared" si="23"/>
        <v>0</v>
      </c>
    </row>
    <row r="106" spans="1:16">
      <c r="B106" s="9" t="str">
        <f t="shared" si="24"/>
        <v/>
      </c>
      <c r="C106" s="157">
        <f>IF(D93="","-",+C105+1)</f>
        <v>2016</v>
      </c>
      <c r="D106" s="366">
        <v>4096879.1399999997</v>
      </c>
      <c r="E106" s="368">
        <v>101933</v>
      </c>
      <c r="F106" s="371">
        <v>3994946.1399999997</v>
      </c>
      <c r="G106" s="371">
        <v>4045912.6399999997</v>
      </c>
      <c r="H106" s="368">
        <v>623514.8578657991</v>
      </c>
      <c r="I106" s="370">
        <v>623514.8578657991</v>
      </c>
      <c r="J106" s="162">
        <v>0</v>
      </c>
      <c r="K106" s="162"/>
      <c r="L106" s="380">
        <f>H106</f>
        <v>623514.8578657991</v>
      </c>
      <c r="M106" s="381">
        <f>IF(L106&lt;&gt;0,+H106-L106,0)</f>
        <v>0</v>
      </c>
      <c r="N106" s="380">
        <f>I106</f>
        <v>623514.8578657991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2017</v>
      </c>
      <c r="D107" s="158">
        <f>IF(F106+SUM(E$99:E106)=D$92,F106,D$92-SUM(E$99:E106))</f>
        <v>3994946.1399999997</v>
      </c>
      <c r="E107" s="165">
        <f>IF(+J96&lt;F106,J96,D107)</f>
        <v>101933</v>
      </c>
      <c r="F107" s="163">
        <f t="shared" ref="F107:F130" si="25">+D107-E107</f>
        <v>3893013.1399999997</v>
      </c>
      <c r="G107" s="163">
        <f t="shared" ref="G107:G130" si="26">+(F107+D107)/2</f>
        <v>3943979.6399999997</v>
      </c>
      <c r="H107" s="167">
        <f t="shared" ref="H107:H154" si="27">+J$94*G107+E107</f>
        <v>602236.76208219538</v>
      </c>
      <c r="I107" s="317">
        <f t="shared" ref="I107:I154" si="28">+J$95*G107+E107</f>
        <v>602236.76208219538</v>
      </c>
      <c r="J107" s="162">
        <f t="shared" si="18"/>
        <v>0</v>
      </c>
      <c r="K107" s="162"/>
      <c r="L107" s="335"/>
      <c r="M107" s="162">
        <f t="shared" si="20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2018</v>
      </c>
      <c r="D108" s="158">
        <f>IF(F107+SUM(E$99:E107)=D$92,F107,D$92-SUM(E$99:E107))</f>
        <v>3893013.1399999997</v>
      </c>
      <c r="E108" s="165">
        <f>IF(+J96&lt;F107,J96,D108)</f>
        <v>101933</v>
      </c>
      <c r="F108" s="163">
        <f t="shared" si="25"/>
        <v>3791080.1399999997</v>
      </c>
      <c r="G108" s="163">
        <f t="shared" si="26"/>
        <v>3842046.6399999997</v>
      </c>
      <c r="H108" s="167">
        <f t="shared" si="27"/>
        <v>589306.30400804454</v>
      </c>
      <c r="I108" s="317">
        <f t="shared" si="28"/>
        <v>589306.30400804454</v>
      </c>
      <c r="J108" s="162">
        <f t="shared" si="18"/>
        <v>0</v>
      </c>
      <c r="K108" s="162"/>
      <c r="L108" s="335"/>
      <c r="M108" s="162">
        <f t="shared" si="20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2019</v>
      </c>
      <c r="D109" s="158">
        <f>IF(F108+SUM(E$99:E108)=D$92,F108,D$92-SUM(E$99:E108))</f>
        <v>3791080.1399999997</v>
      </c>
      <c r="E109" s="165">
        <f>IF(+J96&lt;F108,J96,D109)</f>
        <v>101933</v>
      </c>
      <c r="F109" s="163">
        <f t="shared" si="25"/>
        <v>3689147.1399999997</v>
      </c>
      <c r="G109" s="163">
        <f t="shared" si="26"/>
        <v>3740113.6399999997</v>
      </c>
      <c r="H109" s="167">
        <f t="shared" si="27"/>
        <v>576375.8459338937</v>
      </c>
      <c r="I109" s="317">
        <f t="shared" si="28"/>
        <v>576375.8459338937</v>
      </c>
      <c r="J109" s="162">
        <f t="shared" si="18"/>
        <v>0</v>
      </c>
      <c r="K109" s="162"/>
      <c r="L109" s="335"/>
      <c r="M109" s="162">
        <f t="shared" si="20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2020</v>
      </c>
      <c r="D110" s="158">
        <f>IF(F109+SUM(E$99:E109)=D$92,F109,D$92-SUM(E$99:E109))</f>
        <v>3689147.1399999997</v>
      </c>
      <c r="E110" s="165">
        <f>IF(+J96&lt;F109,J96,D110)</f>
        <v>101933</v>
      </c>
      <c r="F110" s="163">
        <f t="shared" si="25"/>
        <v>3587214.1399999997</v>
      </c>
      <c r="G110" s="163">
        <f t="shared" si="26"/>
        <v>3638180.6399999997</v>
      </c>
      <c r="H110" s="167">
        <f t="shared" si="27"/>
        <v>563445.38785974286</v>
      </c>
      <c r="I110" s="317">
        <f t="shared" si="28"/>
        <v>563445.38785974286</v>
      </c>
      <c r="J110" s="162">
        <f t="shared" si="18"/>
        <v>0</v>
      </c>
      <c r="K110" s="162"/>
      <c r="L110" s="335"/>
      <c r="M110" s="162">
        <f t="shared" si="20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2021</v>
      </c>
      <c r="D111" s="158">
        <f>IF(F110+SUM(E$99:E110)=D$92,F110,D$92-SUM(E$99:E110))</f>
        <v>3587214.1399999997</v>
      </c>
      <c r="E111" s="165">
        <f>IF(+J96&lt;F110,J96,D111)</f>
        <v>101933</v>
      </c>
      <c r="F111" s="163">
        <f t="shared" si="25"/>
        <v>3485281.1399999997</v>
      </c>
      <c r="G111" s="163">
        <f t="shared" si="26"/>
        <v>3536247.6399999997</v>
      </c>
      <c r="H111" s="167">
        <f t="shared" si="27"/>
        <v>550514.92978559202</v>
      </c>
      <c r="I111" s="317">
        <f t="shared" si="28"/>
        <v>550514.92978559202</v>
      </c>
      <c r="J111" s="162">
        <f t="shared" si="18"/>
        <v>0</v>
      </c>
      <c r="K111" s="162"/>
      <c r="L111" s="335"/>
      <c r="M111" s="162">
        <f t="shared" si="20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2022</v>
      </c>
      <c r="D112" s="158">
        <f>IF(F111+SUM(E$99:E111)=D$92,F111,D$92-SUM(E$99:E111))</f>
        <v>3485281.1399999997</v>
      </c>
      <c r="E112" s="165">
        <f>IF(+J96&lt;F111,J96,D112)</f>
        <v>101933</v>
      </c>
      <c r="F112" s="163">
        <f t="shared" si="25"/>
        <v>3383348.1399999997</v>
      </c>
      <c r="G112" s="163">
        <f t="shared" si="26"/>
        <v>3434314.6399999997</v>
      </c>
      <c r="H112" s="167">
        <f t="shared" si="27"/>
        <v>537584.47171144118</v>
      </c>
      <c r="I112" s="317">
        <f t="shared" si="28"/>
        <v>537584.47171144118</v>
      </c>
      <c r="J112" s="162">
        <f t="shared" si="18"/>
        <v>0</v>
      </c>
      <c r="K112" s="162"/>
      <c r="L112" s="335"/>
      <c r="M112" s="162">
        <f t="shared" si="20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2023</v>
      </c>
      <c r="D113" s="158">
        <f>IF(F112+SUM(E$99:E112)=D$92,F112,D$92-SUM(E$99:E112))</f>
        <v>3383348.1399999997</v>
      </c>
      <c r="E113" s="165">
        <f>IF(+J96&lt;F112,J96,D113)</f>
        <v>101933</v>
      </c>
      <c r="F113" s="163">
        <f t="shared" si="25"/>
        <v>3281415.1399999997</v>
      </c>
      <c r="G113" s="163">
        <f t="shared" si="26"/>
        <v>3332381.6399999997</v>
      </c>
      <c r="H113" s="167">
        <f t="shared" si="27"/>
        <v>524654.01363729045</v>
      </c>
      <c r="I113" s="317">
        <f t="shared" si="28"/>
        <v>524654.01363729045</v>
      </c>
      <c r="J113" s="162">
        <f t="shared" si="18"/>
        <v>0</v>
      </c>
      <c r="K113" s="162"/>
      <c r="L113" s="335"/>
      <c r="M113" s="162">
        <f t="shared" si="20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2024</v>
      </c>
      <c r="D114" s="158">
        <f>IF(F113+SUM(E$99:E113)=D$92,F113,D$92-SUM(E$99:E113))</f>
        <v>3281415.1399999997</v>
      </c>
      <c r="E114" s="165">
        <f>IF(+J96&lt;F113,J96,D114)</f>
        <v>101933</v>
      </c>
      <c r="F114" s="163">
        <f t="shared" si="25"/>
        <v>3179482.1399999997</v>
      </c>
      <c r="G114" s="163">
        <f t="shared" si="26"/>
        <v>3230448.6399999997</v>
      </c>
      <c r="H114" s="167">
        <f t="shared" si="27"/>
        <v>511723.55556313961</v>
      </c>
      <c r="I114" s="317">
        <f t="shared" si="28"/>
        <v>511723.55556313961</v>
      </c>
      <c r="J114" s="162">
        <f t="shared" si="18"/>
        <v>0</v>
      </c>
      <c r="K114" s="162"/>
      <c r="L114" s="335"/>
      <c r="M114" s="162">
        <f t="shared" si="20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2025</v>
      </c>
      <c r="D115" s="158">
        <f>IF(F114+SUM(E$99:E114)=D$92,F114,D$92-SUM(E$99:E114))</f>
        <v>3179482.1399999997</v>
      </c>
      <c r="E115" s="165">
        <f>IF(+J96&lt;F114,J96,D115)</f>
        <v>101933</v>
      </c>
      <c r="F115" s="163">
        <f t="shared" si="25"/>
        <v>3077549.1399999997</v>
      </c>
      <c r="G115" s="163">
        <f t="shared" si="26"/>
        <v>3128515.6399999997</v>
      </c>
      <c r="H115" s="167">
        <f t="shared" si="27"/>
        <v>498793.09748898883</v>
      </c>
      <c r="I115" s="317">
        <f t="shared" si="28"/>
        <v>498793.09748898883</v>
      </c>
      <c r="J115" s="162">
        <f t="shared" si="18"/>
        <v>0</v>
      </c>
      <c r="K115" s="162"/>
      <c r="L115" s="335"/>
      <c r="M115" s="162">
        <f t="shared" si="20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2026</v>
      </c>
      <c r="D116" s="158">
        <f>IF(F115+SUM(E$99:E115)=D$92,F115,D$92-SUM(E$99:E115))</f>
        <v>3077549.1399999997</v>
      </c>
      <c r="E116" s="165">
        <f>IF(+J96&lt;F115,J96,D116)</f>
        <v>101933</v>
      </c>
      <c r="F116" s="163">
        <f t="shared" si="25"/>
        <v>2975616.1399999997</v>
      </c>
      <c r="G116" s="163">
        <f t="shared" si="26"/>
        <v>3026582.6399999997</v>
      </c>
      <c r="H116" s="167">
        <f t="shared" si="27"/>
        <v>485862.63941483799</v>
      </c>
      <c r="I116" s="317">
        <f t="shared" si="28"/>
        <v>485862.63941483799</v>
      </c>
      <c r="J116" s="162">
        <f t="shared" si="18"/>
        <v>0</v>
      </c>
      <c r="K116" s="162"/>
      <c r="L116" s="335"/>
      <c r="M116" s="162">
        <f t="shared" si="20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2027</v>
      </c>
      <c r="D117" s="158">
        <f>IF(F116+SUM(E$99:E116)=D$92,F116,D$92-SUM(E$99:E116))</f>
        <v>2975616.1399999997</v>
      </c>
      <c r="E117" s="165">
        <f>IF(+J96&lt;F116,J96,D117)</f>
        <v>101933</v>
      </c>
      <c r="F117" s="163">
        <f t="shared" si="25"/>
        <v>2873683.1399999997</v>
      </c>
      <c r="G117" s="163">
        <f t="shared" si="26"/>
        <v>2924649.6399999997</v>
      </c>
      <c r="H117" s="167">
        <f t="shared" si="27"/>
        <v>472932.18134068715</v>
      </c>
      <c r="I117" s="317">
        <f t="shared" si="28"/>
        <v>472932.18134068715</v>
      </c>
      <c r="J117" s="162">
        <f t="shared" si="18"/>
        <v>0</v>
      </c>
      <c r="K117" s="162"/>
      <c r="L117" s="335"/>
      <c r="M117" s="162">
        <f t="shared" si="20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2028</v>
      </c>
      <c r="D118" s="158">
        <f>IF(F117+SUM(E$99:E117)=D$92,F117,D$92-SUM(E$99:E117))</f>
        <v>2873683.1399999997</v>
      </c>
      <c r="E118" s="165">
        <f>IF(+J96&lt;F117,J96,D118)</f>
        <v>101933</v>
      </c>
      <c r="F118" s="163">
        <f t="shared" si="25"/>
        <v>2771750.1399999997</v>
      </c>
      <c r="G118" s="163">
        <f t="shared" si="26"/>
        <v>2822716.6399999997</v>
      </c>
      <c r="H118" s="167">
        <f t="shared" si="27"/>
        <v>460001.72326653637</v>
      </c>
      <c r="I118" s="317">
        <f t="shared" si="28"/>
        <v>460001.72326653637</v>
      </c>
      <c r="J118" s="162">
        <f t="shared" si="18"/>
        <v>0</v>
      </c>
      <c r="K118" s="162"/>
      <c r="L118" s="335"/>
      <c r="M118" s="162">
        <f t="shared" si="20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2029</v>
      </c>
      <c r="D119" s="158">
        <f>IF(F118+SUM(E$99:E118)=D$92,F118,D$92-SUM(E$99:E118))</f>
        <v>2771750.1399999997</v>
      </c>
      <c r="E119" s="165">
        <f>IF(+J96&lt;F118,J96,D119)</f>
        <v>101933</v>
      </c>
      <c r="F119" s="163">
        <f t="shared" si="25"/>
        <v>2669817.1399999997</v>
      </c>
      <c r="G119" s="163">
        <f t="shared" si="26"/>
        <v>2720783.6399999997</v>
      </c>
      <c r="H119" s="167">
        <f t="shared" si="27"/>
        <v>447071.26519238553</v>
      </c>
      <c r="I119" s="317">
        <f t="shared" si="28"/>
        <v>447071.26519238553</v>
      </c>
      <c r="J119" s="162">
        <f t="shared" si="18"/>
        <v>0</v>
      </c>
      <c r="K119" s="162"/>
      <c r="L119" s="335"/>
      <c r="M119" s="162">
        <f t="shared" si="20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2030</v>
      </c>
      <c r="D120" s="158">
        <f>IF(F119+SUM(E$99:E119)=D$92,F119,D$92-SUM(E$99:E119))</f>
        <v>2669817.1399999997</v>
      </c>
      <c r="E120" s="165">
        <f>IF(+J96&lt;F119,J96,D120)</f>
        <v>101933</v>
      </c>
      <c r="F120" s="163">
        <f t="shared" si="25"/>
        <v>2567884.1399999997</v>
      </c>
      <c r="G120" s="163">
        <f t="shared" si="26"/>
        <v>2618850.6399999997</v>
      </c>
      <c r="H120" s="167">
        <f t="shared" si="27"/>
        <v>434140.80711823475</v>
      </c>
      <c r="I120" s="317">
        <f t="shared" si="28"/>
        <v>434140.80711823475</v>
      </c>
      <c r="J120" s="162">
        <f t="shared" si="18"/>
        <v>0</v>
      </c>
      <c r="K120" s="162"/>
      <c r="L120" s="335"/>
      <c r="M120" s="162">
        <f t="shared" si="20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2031</v>
      </c>
      <c r="D121" s="158">
        <f>IF(F120+SUM(E$99:E120)=D$92,F120,D$92-SUM(E$99:E120))</f>
        <v>2567884.1399999997</v>
      </c>
      <c r="E121" s="165">
        <f>IF(+J96&lt;F120,J96,D121)</f>
        <v>101933</v>
      </c>
      <c r="F121" s="163">
        <f t="shared" si="25"/>
        <v>2465951.1399999997</v>
      </c>
      <c r="G121" s="163">
        <f t="shared" si="26"/>
        <v>2516917.6399999997</v>
      </c>
      <c r="H121" s="167">
        <f t="shared" si="27"/>
        <v>421210.34904408391</v>
      </c>
      <c r="I121" s="317">
        <f t="shared" si="28"/>
        <v>421210.34904408391</v>
      </c>
      <c r="J121" s="162">
        <f t="shared" si="18"/>
        <v>0</v>
      </c>
      <c r="K121" s="162"/>
      <c r="L121" s="335"/>
      <c r="M121" s="162">
        <f t="shared" si="20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2032</v>
      </c>
      <c r="D122" s="158">
        <f>IF(F121+SUM(E$99:E121)=D$92,F121,D$92-SUM(E$99:E121))</f>
        <v>2465951.1399999997</v>
      </c>
      <c r="E122" s="165">
        <f>IF(+J96&lt;F121,J96,D122)</f>
        <v>101933</v>
      </c>
      <c r="F122" s="163">
        <f t="shared" si="25"/>
        <v>2364018.1399999997</v>
      </c>
      <c r="G122" s="163">
        <f t="shared" si="26"/>
        <v>2414984.6399999997</v>
      </c>
      <c r="H122" s="167">
        <f t="shared" si="27"/>
        <v>408279.89096993313</v>
      </c>
      <c r="I122" s="317">
        <f t="shared" si="28"/>
        <v>408279.89096993313</v>
      </c>
      <c r="J122" s="162">
        <f t="shared" si="18"/>
        <v>0</v>
      </c>
      <c r="K122" s="162"/>
      <c r="L122" s="335"/>
      <c r="M122" s="162">
        <f t="shared" si="20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2033</v>
      </c>
      <c r="D123" s="158">
        <f>IF(F122+SUM(E$99:E122)=D$92,F122,D$92-SUM(E$99:E122))</f>
        <v>2364018.1399999997</v>
      </c>
      <c r="E123" s="165">
        <f>IF(+J96&lt;F122,J96,D123)</f>
        <v>101933</v>
      </c>
      <c r="F123" s="163">
        <f t="shared" si="25"/>
        <v>2262085.1399999997</v>
      </c>
      <c r="G123" s="163">
        <f t="shared" si="26"/>
        <v>2313051.6399999997</v>
      </c>
      <c r="H123" s="167">
        <f t="shared" si="27"/>
        <v>395349.43289578229</v>
      </c>
      <c r="I123" s="317">
        <f t="shared" si="28"/>
        <v>395349.43289578229</v>
      </c>
      <c r="J123" s="162">
        <f t="shared" si="18"/>
        <v>0</v>
      </c>
      <c r="K123" s="162"/>
      <c r="L123" s="335"/>
      <c r="M123" s="162">
        <f t="shared" si="20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2034</v>
      </c>
      <c r="D124" s="158">
        <f>IF(F123+SUM(E$99:E123)=D$92,F123,D$92-SUM(E$99:E123))</f>
        <v>2262085.1399999997</v>
      </c>
      <c r="E124" s="165">
        <f>IF(+J96&lt;F123,J96,D124)</f>
        <v>101933</v>
      </c>
      <c r="F124" s="163">
        <f t="shared" si="25"/>
        <v>2160152.1399999997</v>
      </c>
      <c r="G124" s="163">
        <f t="shared" si="26"/>
        <v>2211118.6399999997</v>
      </c>
      <c r="H124" s="167">
        <f t="shared" si="27"/>
        <v>382418.97482163151</v>
      </c>
      <c r="I124" s="317">
        <f t="shared" si="28"/>
        <v>382418.97482163151</v>
      </c>
      <c r="J124" s="162">
        <f t="shared" si="18"/>
        <v>0</v>
      </c>
      <c r="K124" s="162"/>
      <c r="L124" s="335"/>
      <c r="M124" s="162">
        <f t="shared" si="20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2035</v>
      </c>
      <c r="D125" s="158">
        <f>IF(F124+SUM(E$99:E124)=D$92,F124,D$92-SUM(E$99:E124))</f>
        <v>2160152.1399999997</v>
      </c>
      <c r="E125" s="165">
        <f>IF(+J96&lt;F124,J96,D125)</f>
        <v>101933</v>
      </c>
      <c r="F125" s="163">
        <f t="shared" si="25"/>
        <v>2058219.1399999997</v>
      </c>
      <c r="G125" s="163">
        <f t="shared" si="26"/>
        <v>2109185.6399999997</v>
      </c>
      <c r="H125" s="167">
        <f t="shared" si="27"/>
        <v>369488.51674748067</v>
      </c>
      <c r="I125" s="317">
        <f t="shared" si="28"/>
        <v>369488.51674748067</v>
      </c>
      <c r="J125" s="162">
        <f t="shared" si="18"/>
        <v>0</v>
      </c>
      <c r="K125" s="162"/>
      <c r="L125" s="335"/>
      <c r="M125" s="162">
        <f t="shared" si="20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2036</v>
      </c>
      <c r="D126" s="158">
        <f>IF(F125+SUM(E$99:E125)=D$92,F125,D$92-SUM(E$99:E125))</f>
        <v>2058219.1399999997</v>
      </c>
      <c r="E126" s="165">
        <f>IF(+J96&lt;F125,J96,D126)</f>
        <v>101933</v>
      </c>
      <c r="F126" s="163">
        <f t="shared" si="25"/>
        <v>1956286.1399999997</v>
      </c>
      <c r="G126" s="163">
        <f t="shared" si="26"/>
        <v>2007252.6399999997</v>
      </c>
      <c r="H126" s="167">
        <f t="shared" si="27"/>
        <v>356558.05867332988</v>
      </c>
      <c r="I126" s="317">
        <f t="shared" si="28"/>
        <v>356558.05867332988</v>
      </c>
      <c r="J126" s="162">
        <f t="shared" si="18"/>
        <v>0</v>
      </c>
      <c r="K126" s="162"/>
      <c r="L126" s="335"/>
      <c r="M126" s="162">
        <f t="shared" si="20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2037</v>
      </c>
      <c r="D127" s="158">
        <f>IF(F126+SUM(E$99:E126)=D$92,F126,D$92-SUM(E$99:E126))</f>
        <v>1956286.1399999997</v>
      </c>
      <c r="E127" s="165">
        <f>IF(+J96&lt;F126,J96,D127)</f>
        <v>101933</v>
      </c>
      <c r="F127" s="163">
        <f t="shared" si="25"/>
        <v>1854353.1399999997</v>
      </c>
      <c r="G127" s="163">
        <f t="shared" si="26"/>
        <v>1905319.6399999997</v>
      </c>
      <c r="H127" s="167">
        <f t="shared" si="27"/>
        <v>343627.60059917904</v>
      </c>
      <c r="I127" s="317">
        <f t="shared" si="28"/>
        <v>343627.60059917904</v>
      </c>
      <c r="J127" s="162">
        <f t="shared" si="18"/>
        <v>0</v>
      </c>
      <c r="K127" s="162"/>
      <c r="L127" s="335"/>
      <c r="M127" s="162">
        <f t="shared" si="20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2038</v>
      </c>
      <c r="D128" s="158">
        <f>IF(F127+SUM(E$99:E127)=D$92,F127,D$92-SUM(E$99:E127))</f>
        <v>1854353.1399999997</v>
      </c>
      <c r="E128" s="165">
        <f>IF(+J96&lt;F127,J96,D128)</f>
        <v>101933</v>
      </c>
      <c r="F128" s="163">
        <f t="shared" si="25"/>
        <v>1752420.1399999997</v>
      </c>
      <c r="G128" s="163">
        <f t="shared" si="26"/>
        <v>1803386.6399999997</v>
      </c>
      <c r="H128" s="167">
        <f t="shared" si="27"/>
        <v>330697.1425250282</v>
      </c>
      <c r="I128" s="317">
        <f t="shared" si="28"/>
        <v>330697.1425250282</v>
      </c>
      <c r="J128" s="162">
        <f t="shared" si="18"/>
        <v>0</v>
      </c>
      <c r="K128" s="162"/>
      <c r="L128" s="335"/>
      <c r="M128" s="162">
        <f t="shared" si="20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2039</v>
      </c>
      <c r="D129" s="158">
        <f>IF(F128+SUM(E$99:E128)=D$92,F128,D$92-SUM(E$99:E128))</f>
        <v>1752420.1399999997</v>
      </c>
      <c r="E129" s="165">
        <f>IF(+J96&lt;F128,J96,D129)</f>
        <v>101933</v>
      </c>
      <c r="F129" s="163">
        <f t="shared" si="25"/>
        <v>1650487.1399999997</v>
      </c>
      <c r="G129" s="163">
        <f t="shared" si="26"/>
        <v>1701453.6399999997</v>
      </c>
      <c r="H129" s="167">
        <f t="shared" si="27"/>
        <v>317766.68445087742</v>
      </c>
      <c r="I129" s="317">
        <f t="shared" si="28"/>
        <v>317766.68445087742</v>
      </c>
      <c r="J129" s="162">
        <f t="shared" si="18"/>
        <v>0</v>
      </c>
      <c r="K129" s="162"/>
      <c r="L129" s="335"/>
      <c r="M129" s="162">
        <f t="shared" si="20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2040</v>
      </c>
      <c r="D130" s="158">
        <f>IF(F129+SUM(E$99:E129)=D$92,F129,D$92-SUM(E$99:E129))</f>
        <v>1650487.1399999997</v>
      </c>
      <c r="E130" s="165">
        <f>IF(+J96&lt;F129,J96,D130)</f>
        <v>101933</v>
      </c>
      <c r="F130" s="163">
        <f t="shared" si="25"/>
        <v>1548554.1399999997</v>
      </c>
      <c r="G130" s="163">
        <f t="shared" si="26"/>
        <v>1599520.6399999997</v>
      </c>
      <c r="H130" s="167">
        <f t="shared" si="27"/>
        <v>304836.22637672664</v>
      </c>
      <c r="I130" s="317">
        <f t="shared" si="28"/>
        <v>304836.22637672664</v>
      </c>
      <c r="J130" s="162">
        <f t="shared" si="18"/>
        <v>0</v>
      </c>
      <c r="K130" s="162"/>
      <c r="L130" s="335"/>
      <c r="M130" s="162">
        <f t="shared" si="20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2041</v>
      </c>
      <c r="D131" s="158">
        <f>IF(F130+SUM(E$99:E130)=D$92,F130,D$92-SUM(E$99:E130))</f>
        <v>1548554.1399999997</v>
      </c>
      <c r="E131" s="165">
        <f>IF(+J96&lt;F130,J96,D131)</f>
        <v>101933</v>
      </c>
      <c r="F131" s="163">
        <f t="shared" ref="F131:F154" si="29">+D131-E131</f>
        <v>1446621.1399999997</v>
      </c>
      <c r="G131" s="163">
        <f t="shared" ref="G131:G154" si="30">+(F131+D131)/2</f>
        <v>1497587.6399999997</v>
      </c>
      <c r="H131" s="167">
        <f t="shared" si="27"/>
        <v>291905.7683025758</v>
      </c>
      <c r="I131" s="317">
        <f t="shared" si="28"/>
        <v>291905.7683025758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4"/>
        <v/>
      </c>
      <c r="C132" s="157">
        <f>IF(D93="","-",+C131+1)</f>
        <v>2042</v>
      </c>
      <c r="D132" s="158">
        <f>IF(F131+SUM(E$99:E131)=D$92,F131,D$92-SUM(E$99:E131))</f>
        <v>1446621.1399999997</v>
      </c>
      <c r="E132" s="165">
        <f>IF(+J96&lt;F131,J96,D132)</f>
        <v>101933</v>
      </c>
      <c r="F132" s="163">
        <f t="shared" si="29"/>
        <v>1344688.1399999997</v>
      </c>
      <c r="G132" s="163">
        <f t="shared" si="30"/>
        <v>1395654.6399999997</v>
      </c>
      <c r="H132" s="167">
        <f t="shared" si="27"/>
        <v>278975.31022842496</v>
      </c>
      <c r="I132" s="317">
        <f t="shared" si="28"/>
        <v>278975.31022842496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4"/>
        <v/>
      </c>
      <c r="C133" s="157">
        <f>IF(D93="","-",+C132+1)</f>
        <v>2043</v>
      </c>
      <c r="D133" s="158">
        <f>IF(F132+SUM(E$99:E132)=D$92,F132,D$92-SUM(E$99:E132))</f>
        <v>1344688.1399999997</v>
      </c>
      <c r="E133" s="165">
        <f>IF(+J96&lt;F132,J96,D133)</f>
        <v>101933</v>
      </c>
      <c r="F133" s="163">
        <f t="shared" si="29"/>
        <v>1242755.1399999997</v>
      </c>
      <c r="G133" s="163">
        <f t="shared" si="30"/>
        <v>1293721.6399999997</v>
      </c>
      <c r="H133" s="167">
        <f t="shared" si="27"/>
        <v>266044.85215427412</v>
      </c>
      <c r="I133" s="317">
        <f t="shared" si="28"/>
        <v>266044.85215427412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4"/>
        <v/>
      </c>
      <c r="C134" s="157">
        <f>IF(D93="","-",+C133+1)</f>
        <v>2044</v>
      </c>
      <c r="D134" s="158">
        <f>IF(F133+SUM(E$99:E133)=D$92,F133,D$92-SUM(E$99:E133))</f>
        <v>1242755.1399999997</v>
      </c>
      <c r="E134" s="165">
        <f>IF(+J96&lt;F133,J96,D134)</f>
        <v>101933</v>
      </c>
      <c r="F134" s="163">
        <f t="shared" si="29"/>
        <v>1140822.1399999997</v>
      </c>
      <c r="G134" s="163">
        <f t="shared" si="30"/>
        <v>1191788.6399999997</v>
      </c>
      <c r="H134" s="167">
        <f t="shared" si="27"/>
        <v>253114.39408012334</v>
      </c>
      <c r="I134" s="317">
        <f t="shared" si="28"/>
        <v>253114.39408012334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4"/>
        <v/>
      </c>
      <c r="C135" s="157">
        <f>IF(D93="","-",+C134+1)</f>
        <v>2045</v>
      </c>
      <c r="D135" s="158">
        <f>IF(F134+SUM(E$99:E134)=D$92,F134,D$92-SUM(E$99:E134))</f>
        <v>1140822.1399999997</v>
      </c>
      <c r="E135" s="165">
        <f>IF(+J96&lt;F134,J96,D135)</f>
        <v>101933</v>
      </c>
      <c r="F135" s="163">
        <f t="shared" si="29"/>
        <v>1038889.1399999997</v>
      </c>
      <c r="G135" s="163">
        <f t="shared" si="30"/>
        <v>1089855.6399999997</v>
      </c>
      <c r="H135" s="167">
        <f t="shared" si="27"/>
        <v>240183.93600597253</v>
      </c>
      <c r="I135" s="317">
        <f t="shared" si="28"/>
        <v>240183.93600597253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4"/>
        <v/>
      </c>
      <c r="C136" s="157">
        <f>IF(D93="","-",+C135+1)</f>
        <v>2046</v>
      </c>
      <c r="D136" s="158">
        <f>IF(F135+SUM(E$99:E135)=D$92,F135,D$92-SUM(E$99:E135))</f>
        <v>1038889.1399999997</v>
      </c>
      <c r="E136" s="165">
        <f>IF(+J96&lt;F135,J96,D136)</f>
        <v>101933</v>
      </c>
      <c r="F136" s="163">
        <f t="shared" si="29"/>
        <v>936956.13999999966</v>
      </c>
      <c r="G136" s="163">
        <f t="shared" si="30"/>
        <v>987922.63999999966</v>
      </c>
      <c r="H136" s="167">
        <f t="shared" si="27"/>
        <v>227253.47793182172</v>
      </c>
      <c r="I136" s="317">
        <f t="shared" si="28"/>
        <v>227253.47793182172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4"/>
        <v/>
      </c>
      <c r="C137" s="157">
        <f>IF(D93="","-",+C136+1)</f>
        <v>2047</v>
      </c>
      <c r="D137" s="158">
        <f>IF(F136+SUM(E$99:E136)=D$92,F136,D$92-SUM(E$99:E136))</f>
        <v>936956.13999999966</v>
      </c>
      <c r="E137" s="165">
        <f>IF(+J96&lt;F136,J96,D137)</f>
        <v>101933</v>
      </c>
      <c r="F137" s="163">
        <f t="shared" si="29"/>
        <v>835023.13999999966</v>
      </c>
      <c r="G137" s="163">
        <f t="shared" si="30"/>
        <v>885989.63999999966</v>
      </c>
      <c r="H137" s="167">
        <f t="shared" si="27"/>
        <v>214323.01985767091</v>
      </c>
      <c r="I137" s="317">
        <f t="shared" si="28"/>
        <v>214323.01985767091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4"/>
        <v/>
      </c>
      <c r="C138" s="157">
        <f>IF(D93="","-",+C137+1)</f>
        <v>2048</v>
      </c>
      <c r="D138" s="158">
        <f>IF(F137+SUM(E$99:E137)=D$92,F137,D$92-SUM(E$99:E137))</f>
        <v>835023.13999999966</v>
      </c>
      <c r="E138" s="165">
        <f>IF(+J96&lt;F137,J96,D138)</f>
        <v>101933</v>
      </c>
      <c r="F138" s="163">
        <f t="shared" si="29"/>
        <v>733090.13999999966</v>
      </c>
      <c r="G138" s="163">
        <f t="shared" si="30"/>
        <v>784056.63999999966</v>
      </c>
      <c r="H138" s="167">
        <f t="shared" si="27"/>
        <v>201392.5617835201</v>
      </c>
      <c r="I138" s="317">
        <f t="shared" si="28"/>
        <v>201392.5617835201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4"/>
        <v/>
      </c>
      <c r="C139" s="157">
        <f>IF(D93="","-",+C138+1)</f>
        <v>2049</v>
      </c>
      <c r="D139" s="158">
        <f>IF(F138+SUM(E$99:E138)=D$92,F138,D$92-SUM(E$99:E138))</f>
        <v>733090.13999999966</v>
      </c>
      <c r="E139" s="165">
        <f>IF(+J96&lt;F138,J96,D139)</f>
        <v>101933</v>
      </c>
      <c r="F139" s="163">
        <f t="shared" si="29"/>
        <v>631157.13999999966</v>
      </c>
      <c r="G139" s="163">
        <f t="shared" si="30"/>
        <v>682123.63999999966</v>
      </c>
      <c r="H139" s="167">
        <f t="shared" si="27"/>
        <v>188462.10370936926</v>
      </c>
      <c r="I139" s="317">
        <f t="shared" si="28"/>
        <v>188462.10370936926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4"/>
        <v/>
      </c>
      <c r="C140" s="157">
        <f>IF(D93="","-",+C139+1)</f>
        <v>2050</v>
      </c>
      <c r="D140" s="158">
        <f>IF(F139+SUM(E$99:E139)=D$92,F139,D$92-SUM(E$99:E139))</f>
        <v>631157.13999999966</v>
      </c>
      <c r="E140" s="165">
        <f>IF(+J96&lt;F139,J96,D140)</f>
        <v>101933</v>
      </c>
      <c r="F140" s="163">
        <f t="shared" si="29"/>
        <v>529224.13999999966</v>
      </c>
      <c r="G140" s="163">
        <f t="shared" si="30"/>
        <v>580190.63999999966</v>
      </c>
      <c r="H140" s="167">
        <f t="shared" si="27"/>
        <v>175531.64563521848</v>
      </c>
      <c r="I140" s="317">
        <f t="shared" si="28"/>
        <v>175531.64563521848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4"/>
        <v/>
      </c>
      <c r="C141" s="157">
        <f>IF(D93="","-",+C140+1)</f>
        <v>2051</v>
      </c>
      <c r="D141" s="158">
        <f>IF(F140+SUM(E$99:E140)=D$92,F140,D$92-SUM(E$99:E140))</f>
        <v>529224.13999999966</v>
      </c>
      <c r="E141" s="165">
        <f>IF(+J96&lt;F140,J96,D141)</f>
        <v>101933</v>
      </c>
      <c r="F141" s="163">
        <f t="shared" si="29"/>
        <v>427291.13999999966</v>
      </c>
      <c r="G141" s="163">
        <f t="shared" si="30"/>
        <v>478257.63999999966</v>
      </c>
      <c r="H141" s="167">
        <f t="shared" si="27"/>
        <v>162601.18756106764</v>
      </c>
      <c r="I141" s="317">
        <f t="shared" si="28"/>
        <v>162601.18756106764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4"/>
        <v/>
      </c>
      <c r="C142" s="157">
        <f>IF(D93="","-",+C141+1)</f>
        <v>2052</v>
      </c>
      <c r="D142" s="158">
        <f>IF(F141+SUM(E$99:E141)=D$92,F141,D$92-SUM(E$99:E141))</f>
        <v>427291.13999999966</v>
      </c>
      <c r="E142" s="165">
        <f>IF(+J96&lt;F141,J96,D142)</f>
        <v>101933</v>
      </c>
      <c r="F142" s="163">
        <f t="shared" si="29"/>
        <v>325358.13999999966</v>
      </c>
      <c r="G142" s="163">
        <f t="shared" si="30"/>
        <v>376324.63999999966</v>
      </c>
      <c r="H142" s="167">
        <f t="shared" si="27"/>
        <v>149670.72948691685</v>
      </c>
      <c r="I142" s="317">
        <f t="shared" si="28"/>
        <v>149670.72948691685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4"/>
        <v/>
      </c>
      <c r="C143" s="157">
        <f>IF(D93="","-",+C142+1)</f>
        <v>2053</v>
      </c>
      <c r="D143" s="158">
        <f>IF(F142+SUM(E$99:E142)=D$92,F142,D$92-SUM(E$99:E142))</f>
        <v>325358.13999999966</v>
      </c>
      <c r="E143" s="165">
        <f>IF(+J96&lt;F142,J96,D143)</f>
        <v>101933</v>
      </c>
      <c r="F143" s="163">
        <f t="shared" si="29"/>
        <v>223425.13999999966</v>
      </c>
      <c r="G143" s="163">
        <f t="shared" si="30"/>
        <v>274391.63999999966</v>
      </c>
      <c r="H143" s="167">
        <f t="shared" si="27"/>
        <v>136740.27141276601</v>
      </c>
      <c r="I143" s="317">
        <f t="shared" si="28"/>
        <v>136740.27141276601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4"/>
        <v/>
      </c>
      <c r="C144" s="157">
        <f>IF(D93="","-",+C143+1)</f>
        <v>2054</v>
      </c>
      <c r="D144" s="158">
        <f>IF(F143+SUM(E$99:E143)=D$92,F143,D$92-SUM(E$99:E143))</f>
        <v>223425.13999999966</v>
      </c>
      <c r="E144" s="165">
        <f>IF(+J96&lt;F143,J96,D144)</f>
        <v>101933</v>
      </c>
      <c r="F144" s="163">
        <f t="shared" si="29"/>
        <v>121492.13999999966</v>
      </c>
      <c r="G144" s="163">
        <f t="shared" si="30"/>
        <v>172458.63999999966</v>
      </c>
      <c r="H144" s="167">
        <f t="shared" si="27"/>
        <v>123809.8133386152</v>
      </c>
      <c r="I144" s="317">
        <f t="shared" si="28"/>
        <v>123809.8133386152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4"/>
        <v/>
      </c>
      <c r="C145" s="157">
        <f>IF(D93="","-",+C144+1)</f>
        <v>2055</v>
      </c>
      <c r="D145" s="158">
        <f>IF(F144+SUM(E$99:E144)=D$92,F144,D$92-SUM(E$99:E144))</f>
        <v>121492.13999999966</v>
      </c>
      <c r="E145" s="165">
        <f>IF(+J96&lt;F144,J96,D145)</f>
        <v>101933</v>
      </c>
      <c r="F145" s="163">
        <f t="shared" si="29"/>
        <v>19559.139999999665</v>
      </c>
      <c r="G145" s="163">
        <f t="shared" si="30"/>
        <v>70525.639999999665</v>
      </c>
      <c r="H145" s="167">
        <f t="shared" si="27"/>
        <v>110879.35526446439</v>
      </c>
      <c r="I145" s="317">
        <f t="shared" si="28"/>
        <v>110879.35526446439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4"/>
        <v/>
      </c>
      <c r="C146" s="157">
        <f>IF(D93="","-",+C145+1)</f>
        <v>2056</v>
      </c>
      <c r="D146" s="158">
        <f>IF(F145+SUM(E$99:E145)=D$92,F145,D$92-SUM(E$99:E145))</f>
        <v>19559.139999999665</v>
      </c>
      <c r="E146" s="165">
        <f>IF(+J96&lt;F145,J96,D146)</f>
        <v>19559.139999999665</v>
      </c>
      <c r="F146" s="163">
        <f t="shared" si="29"/>
        <v>0</v>
      </c>
      <c r="G146" s="163">
        <f t="shared" si="30"/>
        <v>9779.5699999998324</v>
      </c>
      <c r="H146" s="167">
        <f t="shared" si="27"/>
        <v>20799.703113694159</v>
      </c>
      <c r="I146" s="317">
        <f t="shared" si="28"/>
        <v>20799.703113694159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4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27"/>
        <v>0</v>
      </c>
      <c r="I147" s="317">
        <f t="shared" si="28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4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4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4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4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4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4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4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4688896.1399999997</v>
      </c>
      <c r="F155" s="115"/>
      <c r="G155" s="115"/>
      <c r="H155" s="115">
        <f>SUM(H99:H154)</f>
        <v>19269280.007520508</v>
      </c>
      <c r="I155" s="115">
        <f>SUM(I99:I154)</f>
        <v>19269280.007520508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zoomScale="75" zoomScaleNormal="100" zoomScaleSheetLayoutView="75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3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1310790.7332032048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1310790.7332032048</v>
      </c>
      <c r="O6" s="1"/>
      <c r="P6" s="1"/>
    </row>
    <row r="7" spans="1:16" ht="13.5" thickBot="1">
      <c r="C7" s="127" t="s">
        <v>41</v>
      </c>
      <c r="D7" s="343" t="s">
        <v>200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76</v>
      </c>
      <c r="E9" s="428" t="s">
        <v>303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11456065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10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286401.625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9403820</v>
      </c>
      <c r="E17" s="367">
        <v>29572</v>
      </c>
      <c r="F17" s="366">
        <v>9374248</v>
      </c>
      <c r="G17" s="367">
        <v>388620</v>
      </c>
      <c r="H17" s="367">
        <v>388620</v>
      </c>
      <c r="I17" s="160">
        <f t="shared" ref="I17:I48" si="0">H17-G17</f>
        <v>0</v>
      </c>
      <c r="J17" s="160"/>
      <c r="K17" s="338">
        <v>388620</v>
      </c>
      <c r="L17" s="161">
        <f t="shared" ref="L17:L48" si="1">IF(K17&lt;&gt;0,+G17-K17,0)</f>
        <v>0</v>
      </c>
      <c r="M17" s="338">
        <v>388620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12236959</v>
      </c>
      <c r="E18" s="368">
        <v>219045</v>
      </c>
      <c r="F18" s="371">
        <v>12017913</v>
      </c>
      <c r="G18" s="368">
        <v>1953188</v>
      </c>
      <c r="H18" s="370">
        <v>1953188</v>
      </c>
      <c r="I18" s="160">
        <f t="shared" si="0"/>
        <v>0</v>
      </c>
      <c r="J18" s="160"/>
      <c r="K18" s="338">
        <f t="shared" ref="K18:K23" si="4">G18</f>
        <v>1953188</v>
      </c>
      <c r="L18" s="272">
        <f t="shared" si="1"/>
        <v>0</v>
      </c>
      <c r="M18" s="338">
        <f t="shared" ref="M18:M23" si="5">H18</f>
        <v>1953188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71">
        <v>11983531</v>
      </c>
      <c r="E19" s="368">
        <v>239846.03921568627</v>
      </c>
      <c r="F19" s="371">
        <v>11743684.960784314</v>
      </c>
      <c r="G19" s="368">
        <v>2078241.729976739</v>
      </c>
      <c r="H19" s="370">
        <v>2078241.729976739</v>
      </c>
      <c r="I19" s="160">
        <f t="shared" si="0"/>
        <v>0</v>
      </c>
      <c r="J19" s="160"/>
      <c r="K19" s="338">
        <f t="shared" si="4"/>
        <v>2078241.729976739</v>
      </c>
      <c r="L19" s="272">
        <f t="shared" si="1"/>
        <v>0</v>
      </c>
      <c r="M19" s="338">
        <f t="shared" si="5"/>
        <v>2078241.729976739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71">
        <v>11743684.960784314</v>
      </c>
      <c r="E20" s="368">
        <v>235233.61538461538</v>
      </c>
      <c r="F20" s="371">
        <v>11508451.345399698</v>
      </c>
      <c r="G20" s="368">
        <v>1837287.5395832672</v>
      </c>
      <c r="H20" s="370">
        <v>1837287.5395832672</v>
      </c>
      <c r="I20" s="160">
        <f t="shared" si="0"/>
        <v>0</v>
      </c>
      <c r="J20" s="160"/>
      <c r="K20" s="338">
        <f t="shared" si="4"/>
        <v>1837287.5395832672</v>
      </c>
      <c r="L20" s="272">
        <f t="shared" si="1"/>
        <v>0</v>
      </c>
      <c r="M20" s="338">
        <f t="shared" si="5"/>
        <v>1837287.5395832672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71">
        <v>11508451.345399698</v>
      </c>
      <c r="E21" s="368">
        <v>235233.61538461538</v>
      </c>
      <c r="F21" s="371">
        <v>11273217.730015082</v>
      </c>
      <c r="G21" s="368">
        <v>1845125.3182548014</v>
      </c>
      <c r="H21" s="370">
        <v>1845125.3182548014</v>
      </c>
      <c r="I21" s="160">
        <v>0</v>
      </c>
      <c r="J21" s="160"/>
      <c r="K21" s="338">
        <f t="shared" si="4"/>
        <v>1845125.3182548014</v>
      </c>
      <c r="L21" s="272">
        <f t="shared" ref="L21:L26" si="7">IF(K21&lt;&gt;0,+G21-K21,0)</f>
        <v>0</v>
      </c>
      <c r="M21" s="338">
        <f t="shared" si="5"/>
        <v>1845125.3182548014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11273217.730015082</v>
      </c>
      <c r="E22" s="368">
        <v>235233.61538461538</v>
      </c>
      <c r="F22" s="371">
        <v>11037984.114630466</v>
      </c>
      <c r="G22" s="368">
        <v>1754708.9063952654</v>
      </c>
      <c r="H22" s="370">
        <v>1754708.9063952654</v>
      </c>
      <c r="I22" s="160">
        <v>0</v>
      </c>
      <c r="J22" s="160"/>
      <c r="K22" s="338">
        <f t="shared" si="4"/>
        <v>1754708.9063952654</v>
      </c>
      <c r="L22" s="272">
        <f t="shared" si="7"/>
        <v>0</v>
      </c>
      <c r="M22" s="338">
        <f t="shared" si="5"/>
        <v>1754708.9063952654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>IU</v>
      </c>
      <c r="C23" s="157">
        <f>IF(D11="","-",+C22+1)</f>
        <v>2015</v>
      </c>
      <c r="D23" s="371">
        <v>10261901.114630468</v>
      </c>
      <c r="E23" s="368">
        <v>220308.94230769231</v>
      </c>
      <c r="F23" s="371">
        <v>10041592.172322776</v>
      </c>
      <c r="G23" s="368">
        <v>1604759.8916783908</v>
      </c>
      <c r="H23" s="370">
        <v>1604759.8916783908</v>
      </c>
      <c r="I23" s="160">
        <v>0</v>
      </c>
      <c r="J23" s="160"/>
      <c r="K23" s="338">
        <f t="shared" si="4"/>
        <v>1604759.8916783908</v>
      </c>
      <c r="L23" s="272">
        <f t="shared" si="7"/>
        <v>0</v>
      </c>
      <c r="M23" s="338">
        <f t="shared" si="5"/>
        <v>1604759.8916783908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10041592.172322776</v>
      </c>
      <c r="E24" s="368">
        <v>220308.94230769231</v>
      </c>
      <c r="F24" s="371">
        <v>9821283.2300150841</v>
      </c>
      <c r="G24" s="368">
        <v>1508464.8564289983</v>
      </c>
      <c r="H24" s="370">
        <v>1508464.8564289983</v>
      </c>
      <c r="I24" s="160">
        <f t="shared" si="0"/>
        <v>0</v>
      </c>
      <c r="J24" s="160"/>
      <c r="K24" s="338">
        <f>G24</f>
        <v>1508464.8564289983</v>
      </c>
      <c r="L24" s="272">
        <f t="shared" si="7"/>
        <v>0</v>
      </c>
      <c r="M24" s="338">
        <f>H24</f>
        <v>1508464.8564289983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9821283.2300150841</v>
      </c>
      <c r="E25" s="368">
        <v>249044.89130434784</v>
      </c>
      <c r="F25" s="371">
        <v>9572238.3387107365</v>
      </c>
      <c r="G25" s="368">
        <v>1467214.2092134841</v>
      </c>
      <c r="H25" s="370">
        <v>1467214.2092134841</v>
      </c>
      <c r="I25" s="160">
        <v>0</v>
      </c>
      <c r="J25" s="160"/>
      <c r="K25" s="338">
        <f>G25</f>
        <v>1467214.2092134841</v>
      </c>
      <c r="L25" s="272">
        <f t="shared" si="7"/>
        <v>0</v>
      </c>
      <c r="M25" s="338">
        <f>H25</f>
        <v>1467214.2092134841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9572238.3387107365</v>
      </c>
      <c r="E26" s="368">
        <v>254579.22222222222</v>
      </c>
      <c r="F26" s="371">
        <v>9317659.1164885145</v>
      </c>
      <c r="G26" s="368">
        <v>1385696.2768787597</v>
      </c>
      <c r="H26" s="370">
        <v>1385696.2768787597</v>
      </c>
      <c r="I26" s="160">
        <f t="shared" si="0"/>
        <v>0</v>
      </c>
      <c r="J26" s="160"/>
      <c r="K26" s="338">
        <f>G26</f>
        <v>1385696.2768787597</v>
      </c>
      <c r="L26" s="272">
        <f t="shared" si="7"/>
        <v>0</v>
      </c>
      <c r="M26" s="338">
        <f>H26</f>
        <v>1385696.2768787597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6">
        <f>IF(F26+SUM(E$17:E26)=D$10,F26,D$10-SUM(E$17:E26))</f>
        <v>9317659.1164885145</v>
      </c>
      <c r="E27" s="164">
        <f>IF(+I14&lt;F26,I14,D27)</f>
        <v>286401.625</v>
      </c>
      <c r="F27" s="163">
        <f t="shared" ref="F27:F72" si="10">+D27-E27</f>
        <v>9031257.4914885145</v>
      </c>
      <c r="G27" s="165">
        <f t="shared" ref="G27:G72" si="11">(D27+F27)/2*I$12+E27</f>
        <v>1310790.7332032048</v>
      </c>
      <c r="H27" s="147">
        <f t="shared" ref="H27:H72" si="12">+(D27+F27)/2*I$13+E27</f>
        <v>1310790.7332032048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9031257.4914885145</v>
      </c>
      <c r="E28" s="164">
        <f>IF(+I14&lt;F27,I14,D28)</f>
        <v>286401.625</v>
      </c>
      <c r="F28" s="163">
        <f t="shared" si="10"/>
        <v>8744855.8664885145</v>
      </c>
      <c r="G28" s="165">
        <f t="shared" si="11"/>
        <v>1278812.0925575602</v>
      </c>
      <c r="H28" s="147">
        <f t="shared" si="12"/>
        <v>1278812.0925575602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8744855.8664885145</v>
      </c>
      <c r="E29" s="164">
        <f>IF(+I14&lt;F28,I14,D29)</f>
        <v>286401.625</v>
      </c>
      <c r="F29" s="163">
        <f t="shared" si="10"/>
        <v>8458454.2414885145</v>
      </c>
      <c r="G29" s="165">
        <f t="shared" si="11"/>
        <v>1246833.4519119156</v>
      </c>
      <c r="H29" s="147">
        <f t="shared" si="12"/>
        <v>1246833.4519119156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8458454.2414885145</v>
      </c>
      <c r="E30" s="164">
        <f>IF(+I14&lt;F29,I14,D30)</f>
        <v>286401.625</v>
      </c>
      <c r="F30" s="163">
        <f t="shared" si="10"/>
        <v>8172052.6164885145</v>
      </c>
      <c r="G30" s="165">
        <f t="shared" si="11"/>
        <v>1214854.8112662709</v>
      </c>
      <c r="H30" s="147">
        <f t="shared" si="12"/>
        <v>1214854.8112662709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8172052.6164885145</v>
      </c>
      <c r="E31" s="164">
        <f>IF(+I14&lt;F30,I14,D31)</f>
        <v>286401.625</v>
      </c>
      <c r="F31" s="163">
        <f t="shared" si="10"/>
        <v>7885650.9914885145</v>
      </c>
      <c r="G31" s="165">
        <f t="shared" si="11"/>
        <v>1182876.1706206265</v>
      </c>
      <c r="H31" s="147">
        <f t="shared" si="12"/>
        <v>1182876.1706206265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7885650.9914885145</v>
      </c>
      <c r="E32" s="164">
        <f>IF(+I14&lt;F31,I14,D32)</f>
        <v>286401.625</v>
      </c>
      <c r="F32" s="163">
        <f t="shared" si="10"/>
        <v>7599249.3664885145</v>
      </c>
      <c r="G32" s="165">
        <f t="shared" si="11"/>
        <v>1150897.5299749819</v>
      </c>
      <c r="H32" s="147">
        <f t="shared" si="12"/>
        <v>1150897.5299749819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7599249.3664885145</v>
      </c>
      <c r="E33" s="164">
        <f>IF(+I14&lt;F32,I14,D33)</f>
        <v>286401.625</v>
      </c>
      <c r="F33" s="163">
        <f t="shared" si="10"/>
        <v>7312847.7414885145</v>
      </c>
      <c r="G33" s="165">
        <f t="shared" si="11"/>
        <v>1118918.8893293373</v>
      </c>
      <c r="H33" s="147">
        <f t="shared" si="12"/>
        <v>1118918.8893293373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7312847.7414885145</v>
      </c>
      <c r="E34" s="164">
        <f>IF(+I14&lt;F33,I14,D34)</f>
        <v>286401.625</v>
      </c>
      <c r="F34" s="163">
        <f t="shared" si="10"/>
        <v>7026446.1164885145</v>
      </c>
      <c r="G34" s="165">
        <f t="shared" si="11"/>
        <v>1086940.2486836927</v>
      </c>
      <c r="H34" s="147">
        <f t="shared" si="12"/>
        <v>1086940.2486836927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7026446.1164885145</v>
      </c>
      <c r="E35" s="164">
        <f>IF(+I14&lt;F34,I14,D35)</f>
        <v>286401.625</v>
      </c>
      <c r="F35" s="163">
        <f t="shared" si="10"/>
        <v>6740044.4914885145</v>
      </c>
      <c r="G35" s="165">
        <f t="shared" si="11"/>
        <v>1054961.6080380483</v>
      </c>
      <c r="H35" s="147">
        <f t="shared" si="12"/>
        <v>1054961.6080380483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6740044.4914885145</v>
      </c>
      <c r="E36" s="164">
        <f>IF(+I14&lt;F35,I14,D36)</f>
        <v>286401.625</v>
      </c>
      <c r="F36" s="163">
        <f t="shared" si="10"/>
        <v>6453642.8664885145</v>
      </c>
      <c r="G36" s="165">
        <f t="shared" si="11"/>
        <v>1022982.9673924035</v>
      </c>
      <c r="H36" s="147">
        <f t="shared" si="12"/>
        <v>1022982.9673924035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6453642.8664885145</v>
      </c>
      <c r="E37" s="164">
        <f>IF(+I14&lt;F36,I14,D37)</f>
        <v>286401.625</v>
      </c>
      <c r="F37" s="163">
        <f t="shared" si="10"/>
        <v>6167241.2414885145</v>
      </c>
      <c r="G37" s="165">
        <f t="shared" si="11"/>
        <v>991004.32674675889</v>
      </c>
      <c r="H37" s="147">
        <f t="shared" si="12"/>
        <v>991004.32674675889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6167241.2414885145</v>
      </c>
      <c r="E38" s="164">
        <f>IF(+I14&lt;F37,I14,D38)</f>
        <v>286401.625</v>
      </c>
      <c r="F38" s="163">
        <f t="shared" si="10"/>
        <v>5880839.6164885145</v>
      </c>
      <c r="G38" s="165">
        <f t="shared" si="11"/>
        <v>959025.68610111426</v>
      </c>
      <c r="H38" s="147">
        <f t="shared" si="12"/>
        <v>959025.68610111426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5880839.6164885145</v>
      </c>
      <c r="E39" s="164">
        <f>IF(+I14&lt;F38,I14,D39)</f>
        <v>286401.625</v>
      </c>
      <c r="F39" s="163">
        <f t="shared" si="10"/>
        <v>5594437.9914885145</v>
      </c>
      <c r="G39" s="165">
        <f t="shared" si="11"/>
        <v>927047.04545546975</v>
      </c>
      <c r="H39" s="147">
        <f t="shared" si="12"/>
        <v>927047.04545546975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5594437.9914885145</v>
      </c>
      <c r="E40" s="164">
        <f>IF(+I14&lt;F39,I14,D40)</f>
        <v>286401.625</v>
      </c>
      <c r="F40" s="163">
        <f t="shared" si="10"/>
        <v>5308036.3664885145</v>
      </c>
      <c r="G40" s="165">
        <f t="shared" si="11"/>
        <v>895068.40480982512</v>
      </c>
      <c r="H40" s="147">
        <f t="shared" si="12"/>
        <v>895068.40480982512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5308036.3664885145</v>
      </c>
      <c r="E41" s="164">
        <f>IF(+I14&lt;F40,I14,D41)</f>
        <v>286401.625</v>
      </c>
      <c r="F41" s="163">
        <f t="shared" si="10"/>
        <v>5021634.7414885145</v>
      </c>
      <c r="G41" s="165">
        <f t="shared" si="11"/>
        <v>863089.76416418049</v>
      </c>
      <c r="H41" s="147">
        <f t="shared" si="12"/>
        <v>863089.76416418049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5021634.7414885145</v>
      </c>
      <c r="E42" s="164">
        <f>IF(+I14&lt;F41,I14,D42)</f>
        <v>286401.625</v>
      </c>
      <c r="F42" s="163">
        <f t="shared" si="10"/>
        <v>4735233.1164885145</v>
      </c>
      <c r="G42" s="165">
        <f t="shared" si="11"/>
        <v>831111.12351853587</v>
      </c>
      <c r="H42" s="147">
        <f t="shared" si="12"/>
        <v>831111.12351853587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4735233.1164885145</v>
      </c>
      <c r="E43" s="164">
        <f>IF(+I14&lt;F42,I14,D43)</f>
        <v>286401.625</v>
      </c>
      <c r="F43" s="163">
        <f t="shared" si="10"/>
        <v>4448831.4914885145</v>
      </c>
      <c r="G43" s="165">
        <f t="shared" si="11"/>
        <v>799132.48287289124</v>
      </c>
      <c r="H43" s="147">
        <f t="shared" si="12"/>
        <v>799132.48287289124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4448831.4914885145</v>
      </c>
      <c r="E44" s="164">
        <f>IF(+I14&lt;F43,I14,D44)</f>
        <v>286401.625</v>
      </c>
      <c r="F44" s="163">
        <f t="shared" si="10"/>
        <v>4162429.8664885145</v>
      </c>
      <c r="G44" s="165">
        <f t="shared" si="11"/>
        <v>767153.84222724673</v>
      </c>
      <c r="H44" s="147">
        <f t="shared" si="12"/>
        <v>767153.84222724673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4162429.8664885145</v>
      </c>
      <c r="E45" s="164">
        <f>IF(+I14&lt;F44,I14,D45)</f>
        <v>286401.625</v>
      </c>
      <c r="F45" s="163">
        <f t="shared" si="10"/>
        <v>3876028.2414885145</v>
      </c>
      <c r="G45" s="165">
        <f t="shared" si="11"/>
        <v>735175.2015816021</v>
      </c>
      <c r="H45" s="147">
        <f t="shared" si="12"/>
        <v>735175.2015816021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3876028.2414885145</v>
      </c>
      <c r="E46" s="164">
        <f>IF(+I14&lt;F45,I14,D46)</f>
        <v>286401.625</v>
      </c>
      <c r="F46" s="163">
        <f t="shared" si="10"/>
        <v>3589626.6164885145</v>
      </c>
      <c r="G46" s="165">
        <f t="shared" si="11"/>
        <v>703196.56093595759</v>
      </c>
      <c r="H46" s="147">
        <f t="shared" si="12"/>
        <v>703196.56093595759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3589626.6164885145</v>
      </c>
      <c r="E47" s="164">
        <f>IF(+I14&lt;F46,I14,D47)</f>
        <v>286401.625</v>
      </c>
      <c r="F47" s="163">
        <f t="shared" si="10"/>
        <v>3303224.9914885145</v>
      </c>
      <c r="G47" s="165">
        <f t="shared" si="11"/>
        <v>671217.92029031296</v>
      </c>
      <c r="H47" s="147">
        <f t="shared" si="12"/>
        <v>671217.92029031296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3303224.9914885145</v>
      </c>
      <c r="E48" s="164">
        <f>IF(+I14&lt;F47,I14,D48)</f>
        <v>286401.625</v>
      </c>
      <c r="F48" s="163">
        <f t="shared" si="10"/>
        <v>3016823.3664885145</v>
      </c>
      <c r="G48" s="165">
        <f t="shared" si="11"/>
        <v>639239.27964466834</v>
      </c>
      <c r="H48" s="147">
        <f t="shared" si="12"/>
        <v>639239.27964466834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3016823.3664885145</v>
      </c>
      <c r="E49" s="164">
        <f>IF(+I14&lt;F48,I14,D49)</f>
        <v>286401.625</v>
      </c>
      <c r="F49" s="163">
        <f t="shared" si="10"/>
        <v>2730421.7414885145</v>
      </c>
      <c r="G49" s="165">
        <f t="shared" si="11"/>
        <v>607260.63899902371</v>
      </c>
      <c r="H49" s="147">
        <f t="shared" si="12"/>
        <v>607260.63899902371</v>
      </c>
      <c r="I49" s="160">
        <f t="shared" ref="I49:I72" si="13">H303-G303</f>
        <v>0</v>
      </c>
      <c r="J49" s="160"/>
      <c r="K49" s="335"/>
      <c r="L49" s="162">
        <f t="shared" ref="L49:L72" si="14">IF(K303&lt;&gt;0,+G303-K303,0)</f>
        <v>0</v>
      </c>
      <c r="M49" s="335"/>
      <c r="N49" s="162">
        <f t="shared" ref="N49:N72" si="15">IF(M303&lt;&gt;0,+H303-M303,0)</f>
        <v>0</v>
      </c>
      <c r="O49" s="162">
        <f t="shared" ref="O49:O72" si="16">+N303-L303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2730421.7414885145</v>
      </c>
      <c r="E50" s="164">
        <f>IF(+I14&lt;F49,I14,D50)</f>
        <v>286401.625</v>
      </c>
      <c r="F50" s="163">
        <f t="shared" si="10"/>
        <v>2444020.1164885145</v>
      </c>
      <c r="G50" s="165">
        <f t="shared" si="11"/>
        <v>575281.99835337908</v>
      </c>
      <c r="H50" s="147">
        <f t="shared" si="12"/>
        <v>575281.99835337908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2444020.1164885145</v>
      </c>
      <c r="E51" s="164">
        <f>IF(+I14&lt;F50,I14,D51)</f>
        <v>286401.625</v>
      </c>
      <c r="F51" s="163">
        <f t="shared" si="10"/>
        <v>2157618.4914885145</v>
      </c>
      <c r="G51" s="165">
        <f t="shared" si="11"/>
        <v>543303.35770773457</v>
      </c>
      <c r="H51" s="147">
        <f t="shared" si="12"/>
        <v>543303.35770773457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2157618.4914885145</v>
      </c>
      <c r="E52" s="164">
        <f>IF(+I14&lt;F51,I14,D52)</f>
        <v>286401.625</v>
      </c>
      <c r="F52" s="163">
        <f t="shared" si="10"/>
        <v>1871216.8664885145</v>
      </c>
      <c r="G52" s="165">
        <f t="shared" si="11"/>
        <v>511324.71706208994</v>
      </c>
      <c r="H52" s="147">
        <f t="shared" si="12"/>
        <v>511324.71706208994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1871216.8664885145</v>
      </c>
      <c r="E53" s="164">
        <f>IF(+I14&lt;F52,I14,D53)</f>
        <v>286401.625</v>
      </c>
      <c r="F53" s="163">
        <f t="shared" si="10"/>
        <v>1584815.2414885145</v>
      </c>
      <c r="G53" s="165">
        <f t="shared" si="11"/>
        <v>479346.07641644531</v>
      </c>
      <c r="H53" s="147">
        <f t="shared" si="12"/>
        <v>479346.07641644531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1584815.2414885145</v>
      </c>
      <c r="E54" s="164">
        <f>IF(+I14&lt;F53,I14,D54)</f>
        <v>286401.625</v>
      </c>
      <c r="F54" s="163">
        <f t="shared" si="10"/>
        <v>1298413.6164885145</v>
      </c>
      <c r="G54" s="165">
        <f t="shared" si="11"/>
        <v>447367.43577080074</v>
      </c>
      <c r="H54" s="147">
        <f t="shared" si="12"/>
        <v>447367.43577080074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1298413.6164885145</v>
      </c>
      <c r="E55" s="164">
        <f>IF(+I14&lt;F54,I14,D55)</f>
        <v>286401.625</v>
      </c>
      <c r="F55" s="163">
        <f t="shared" si="10"/>
        <v>1012011.9914885145</v>
      </c>
      <c r="G55" s="165">
        <f t="shared" si="11"/>
        <v>415388.79512515618</v>
      </c>
      <c r="H55" s="147">
        <f t="shared" si="12"/>
        <v>415388.79512515618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1012011.9914885145</v>
      </c>
      <c r="E56" s="164">
        <f>IF(+I14&lt;F55,I14,D56)</f>
        <v>286401.625</v>
      </c>
      <c r="F56" s="163">
        <f t="shared" si="10"/>
        <v>725610.36648851447</v>
      </c>
      <c r="G56" s="165">
        <f t="shared" si="11"/>
        <v>383410.15447951155</v>
      </c>
      <c r="H56" s="147">
        <f t="shared" si="12"/>
        <v>383410.15447951155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725610.36648851447</v>
      </c>
      <c r="E57" s="164">
        <f>IF(+I14&lt;F56,I14,D57)</f>
        <v>286401.625</v>
      </c>
      <c r="F57" s="163">
        <f t="shared" si="10"/>
        <v>439208.74148851447</v>
      </c>
      <c r="G57" s="165">
        <f t="shared" si="11"/>
        <v>351431.51383386692</v>
      </c>
      <c r="H57" s="147">
        <f t="shared" si="12"/>
        <v>351431.51383386692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439208.74148851447</v>
      </c>
      <c r="E58" s="164">
        <f>IF(+I14&lt;F57,I14,D58)</f>
        <v>286401.625</v>
      </c>
      <c r="F58" s="163">
        <f t="shared" si="10"/>
        <v>152807.11648851447</v>
      </c>
      <c r="G58" s="165">
        <f t="shared" si="11"/>
        <v>319452.87318822235</v>
      </c>
      <c r="H58" s="147">
        <f t="shared" si="12"/>
        <v>319452.87318822235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152807.11648851447</v>
      </c>
      <c r="E59" s="164">
        <f>IF(+I14&lt;F58,I14,D59)</f>
        <v>152807.11648851447</v>
      </c>
      <c r="F59" s="163">
        <f t="shared" si="10"/>
        <v>0</v>
      </c>
      <c r="G59" s="165">
        <f t="shared" si="11"/>
        <v>161338.08042121449</v>
      </c>
      <c r="H59" s="147">
        <f t="shared" si="12"/>
        <v>161338.08042121449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0"/>
        <v>0</v>
      </c>
      <c r="G60" s="165">
        <f t="shared" si="11"/>
        <v>0</v>
      </c>
      <c r="H60" s="147">
        <f t="shared" si="12"/>
        <v>0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0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0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0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11456065.000000002</v>
      </c>
      <c r="F73" s="115"/>
      <c r="G73" s="115">
        <f>SUM(G17:G72)</f>
        <v>42068542.511093758</v>
      </c>
      <c r="H73" s="115">
        <f>SUM(H17:H72)</f>
        <v>42068542.511093758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3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1467214.2092134841</v>
      </c>
      <c r="N87" s="202">
        <f>IF(J92&lt;D11,0,VLOOKUP(J92,C17:O72,11))</f>
        <v>1467214.2092134841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1475715.2889659985</v>
      </c>
      <c r="N88" s="204">
        <f>IF(J92&lt;D11,0,VLOOKUP(J92,C99:P154,7))</f>
        <v>1475715.2889659985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WFEC New 138 kV Ties: Sayre to Erick (WFEC) Line &amp; Atoka and Tupelo station work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8501.0797525143716</v>
      </c>
      <c r="N89" s="207">
        <f>+N88-N87</f>
        <v>8501.0797525143716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TP2006054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11456065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10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249045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26281</v>
      </c>
      <c r="F99" s="371">
        <v>8804059</v>
      </c>
      <c r="G99" s="373">
        <v>4402030</v>
      </c>
      <c r="H99" s="374">
        <v>669894</v>
      </c>
      <c r="I99" s="375">
        <v>669894</v>
      </c>
      <c r="J99" s="162">
        <f t="shared" ref="J99:J130" si="17">+I99-H99</f>
        <v>0</v>
      </c>
      <c r="K99" s="162"/>
      <c r="L99" s="337">
        <f t="shared" ref="L99:L104" si="18">H99</f>
        <v>669894</v>
      </c>
      <c r="M99" s="161">
        <f t="shared" ref="M99:M130" si="19">IF(L99&lt;&gt;0,+H99-L99,0)</f>
        <v>0</v>
      </c>
      <c r="N99" s="337">
        <f t="shared" ref="N99:N104" si="20">I99</f>
        <v>669894</v>
      </c>
      <c r="O99" s="161">
        <f t="shared" ref="O99:O130" si="21">IF(N99&lt;&gt;0,+I99-N99,0)</f>
        <v>0</v>
      </c>
      <c r="P99" s="161">
        <f t="shared" ref="P99:P130" si="22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6">
        <v>12205867</v>
      </c>
      <c r="E100" s="368">
        <v>239846</v>
      </c>
      <c r="F100" s="371">
        <v>11966021</v>
      </c>
      <c r="G100" s="371">
        <v>12085944</v>
      </c>
      <c r="H100" s="368">
        <v>2183449.7644146364</v>
      </c>
      <c r="I100" s="370">
        <v>2183449.7644146364</v>
      </c>
      <c r="J100" s="162">
        <f t="shared" si="17"/>
        <v>0</v>
      </c>
      <c r="K100" s="162"/>
      <c r="L100" s="380">
        <f t="shared" si="18"/>
        <v>2183449.7644146364</v>
      </c>
      <c r="M100" s="381">
        <f t="shared" si="19"/>
        <v>0</v>
      </c>
      <c r="N100" s="380">
        <f t="shared" si="20"/>
        <v>2183449.7644146364</v>
      </c>
      <c r="O100" s="162">
        <f t="shared" si="21"/>
        <v>0</v>
      </c>
      <c r="P100" s="162">
        <f t="shared" si="22"/>
        <v>0</v>
      </c>
    </row>
    <row r="101" spans="1:16">
      <c r="B101" s="9" t="str">
        <f t="shared" ref="B101:B154" si="23">IF(D101=F100,"","IU")</f>
        <v/>
      </c>
      <c r="C101" s="157">
        <f>IF(D93="","-",+C100+1)</f>
        <v>2011</v>
      </c>
      <c r="D101" s="366">
        <v>11966021</v>
      </c>
      <c r="E101" s="368">
        <v>235234</v>
      </c>
      <c r="F101" s="371">
        <v>11730787</v>
      </c>
      <c r="G101" s="371">
        <v>11848404</v>
      </c>
      <c r="H101" s="368">
        <v>1891800.0972614796</v>
      </c>
      <c r="I101" s="370">
        <v>1891800.0972614796</v>
      </c>
      <c r="J101" s="162">
        <f t="shared" si="17"/>
        <v>0</v>
      </c>
      <c r="K101" s="162"/>
      <c r="L101" s="380">
        <f t="shared" si="18"/>
        <v>1891800.0972614796</v>
      </c>
      <c r="M101" s="381">
        <f t="shared" si="19"/>
        <v>0</v>
      </c>
      <c r="N101" s="380">
        <f t="shared" si="20"/>
        <v>1891800.0972614796</v>
      </c>
      <c r="O101" s="162">
        <f t="shared" si="21"/>
        <v>0</v>
      </c>
      <c r="P101" s="162">
        <f t="shared" si="22"/>
        <v>0</v>
      </c>
    </row>
    <row r="102" spans="1:16">
      <c r="B102" s="9" t="str">
        <f t="shared" si="23"/>
        <v/>
      </c>
      <c r="C102" s="157">
        <f>IF(D93="","-",+C101+1)</f>
        <v>2012</v>
      </c>
      <c r="D102" s="366">
        <v>11730787</v>
      </c>
      <c r="E102" s="368">
        <v>235234</v>
      </c>
      <c r="F102" s="371">
        <v>11495553</v>
      </c>
      <c r="G102" s="371">
        <v>11613170</v>
      </c>
      <c r="H102" s="368">
        <v>1905852.1655461292</v>
      </c>
      <c r="I102" s="370">
        <v>1905852.1655461292</v>
      </c>
      <c r="J102" s="162">
        <v>0</v>
      </c>
      <c r="K102" s="162"/>
      <c r="L102" s="380">
        <f t="shared" si="18"/>
        <v>1905852.1655461292</v>
      </c>
      <c r="M102" s="381">
        <f>IF(L102&lt;&gt;0,+H102-L102,0)</f>
        <v>0</v>
      </c>
      <c r="N102" s="380">
        <f t="shared" si="20"/>
        <v>1905852.1655461292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3"/>
        <v/>
      </c>
      <c r="C103" s="157">
        <f>IF(D93="","-",+C102+1)</f>
        <v>2013</v>
      </c>
      <c r="D103" s="366">
        <v>11495553</v>
      </c>
      <c r="E103" s="368">
        <v>235234</v>
      </c>
      <c r="F103" s="371">
        <v>11260319</v>
      </c>
      <c r="G103" s="371">
        <v>11377936</v>
      </c>
      <c r="H103" s="368">
        <v>1872969.4877104962</v>
      </c>
      <c r="I103" s="370">
        <v>1872969.4877104962</v>
      </c>
      <c r="J103" s="162">
        <v>0</v>
      </c>
      <c r="K103" s="162"/>
      <c r="L103" s="380">
        <f t="shared" si="18"/>
        <v>1872969.4877104962</v>
      </c>
      <c r="M103" s="381">
        <f>IF(L103&lt;&gt;0,+H103-L103,0)</f>
        <v>0</v>
      </c>
      <c r="N103" s="380">
        <f t="shared" si="20"/>
        <v>1872969.4877104962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3"/>
        <v>IU</v>
      </c>
      <c r="C104" s="157">
        <f>IF(D93="","-",+C103+1)</f>
        <v>2014</v>
      </c>
      <c r="D104" s="366">
        <v>10484236</v>
      </c>
      <c r="E104" s="368">
        <v>220309</v>
      </c>
      <c r="F104" s="371">
        <v>10263927</v>
      </c>
      <c r="G104" s="371">
        <v>10374081.5</v>
      </c>
      <c r="H104" s="368">
        <v>1678862.4521722798</v>
      </c>
      <c r="I104" s="370">
        <v>1678862.4521722798</v>
      </c>
      <c r="J104" s="162">
        <v>0</v>
      </c>
      <c r="K104" s="162"/>
      <c r="L104" s="380">
        <f t="shared" si="18"/>
        <v>1678862.4521722798</v>
      </c>
      <c r="M104" s="381">
        <f>IF(L104&lt;&gt;0,+H104-L104,0)</f>
        <v>0</v>
      </c>
      <c r="N104" s="380">
        <f t="shared" si="20"/>
        <v>1678862.4521722798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3"/>
        <v/>
      </c>
      <c r="C105" s="157">
        <f>IF(D93="","-",+C104+1)</f>
        <v>2015</v>
      </c>
      <c r="D105" s="366">
        <v>10263927</v>
      </c>
      <c r="E105" s="368">
        <v>220309</v>
      </c>
      <c r="F105" s="371">
        <v>10043618</v>
      </c>
      <c r="G105" s="371">
        <v>10153772.5</v>
      </c>
      <c r="H105" s="368">
        <v>1605709.6172709188</v>
      </c>
      <c r="I105" s="370">
        <v>1605709.6172709188</v>
      </c>
      <c r="J105" s="162">
        <f t="shared" si="17"/>
        <v>0</v>
      </c>
      <c r="K105" s="162"/>
      <c r="L105" s="380">
        <f>H105</f>
        <v>1605709.6172709188</v>
      </c>
      <c r="M105" s="381">
        <f>IF(L105&lt;&gt;0,+H105-L105,0)</f>
        <v>0</v>
      </c>
      <c r="N105" s="380">
        <f>I105</f>
        <v>1605709.6172709188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3"/>
        <v/>
      </c>
      <c r="C106" s="157">
        <f>IF(D93="","-",+C105+1)</f>
        <v>2016</v>
      </c>
      <c r="D106" s="366">
        <v>10043618</v>
      </c>
      <c r="E106" s="368">
        <v>249045</v>
      </c>
      <c r="F106" s="371">
        <v>9794573</v>
      </c>
      <c r="G106" s="371">
        <v>9919095.5</v>
      </c>
      <c r="H106" s="368">
        <v>1527772.6245386968</v>
      </c>
      <c r="I106" s="370">
        <v>1527772.6245386968</v>
      </c>
      <c r="J106" s="162">
        <v>0</v>
      </c>
      <c r="K106" s="162"/>
      <c r="L106" s="380">
        <f>H106</f>
        <v>1527772.6245386968</v>
      </c>
      <c r="M106" s="381">
        <f>IF(L106&lt;&gt;0,+H106-L106,0)</f>
        <v>0</v>
      </c>
      <c r="N106" s="380">
        <f>I106</f>
        <v>1527772.6245386968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3"/>
        <v/>
      </c>
      <c r="C107" s="157">
        <f>IF(D93="","-",+C106+1)</f>
        <v>2017</v>
      </c>
      <c r="D107" s="158">
        <f>IF(F106+SUM(E$99:E106)=D$92,F106,D$92-SUM(E$99:E106))</f>
        <v>9794573</v>
      </c>
      <c r="E107" s="165">
        <f>IF(+J96&lt;F106,J96,D107)</f>
        <v>249045</v>
      </c>
      <c r="F107" s="163">
        <f t="shared" ref="F107:F130" si="24">+D107-E107</f>
        <v>9545528</v>
      </c>
      <c r="G107" s="163">
        <f t="shared" ref="G107:G130" si="25">+(F107+D107)/2</f>
        <v>9670050.5</v>
      </c>
      <c r="H107" s="167">
        <f t="shared" ref="H107:H154" si="26">+J$94*G107+E107</f>
        <v>1475715.2889659985</v>
      </c>
      <c r="I107" s="317">
        <f t="shared" ref="I107:I154" si="27">+J$95*G107+E107</f>
        <v>1475715.2889659985</v>
      </c>
      <c r="J107" s="162">
        <f t="shared" si="17"/>
        <v>0</v>
      </c>
      <c r="K107" s="162"/>
      <c r="L107" s="335"/>
      <c r="M107" s="162">
        <f t="shared" si="19"/>
        <v>0</v>
      </c>
      <c r="N107" s="335"/>
      <c r="O107" s="162">
        <f t="shared" si="21"/>
        <v>0</v>
      </c>
      <c r="P107" s="162">
        <f t="shared" si="22"/>
        <v>0</v>
      </c>
    </row>
    <row r="108" spans="1:16">
      <c r="B108" s="9" t="str">
        <f t="shared" si="23"/>
        <v/>
      </c>
      <c r="C108" s="157">
        <f>IF(D93="","-",+C107+1)</f>
        <v>2018</v>
      </c>
      <c r="D108" s="158">
        <f>IF(F107+SUM(E$99:E107)=D$92,F107,D$92-SUM(E$99:E107))</f>
        <v>9545528</v>
      </c>
      <c r="E108" s="165">
        <f>IF(+J96&lt;F107,J96,D108)</f>
        <v>249045</v>
      </c>
      <c r="F108" s="163">
        <f t="shared" si="24"/>
        <v>9296483</v>
      </c>
      <c r="G108" s="163">
        <f t="shared" si="25"/>
        <v>9421005.5</v>
      </c>
      <c r="H108" s="167">
        <f t="shared" si="26"/>
        <v>1444123.3027488077</v>
      </c>
      <c r="I108" s="317">
        <f t="shared" si="27"/>
        <v>1444123.3027488077</v>
      </c>
      <c r="J108" s="162">
        <f t="shared" si="17"/>
        <v>0</v>
      </c>
      <c r="K108" s="162"/>
      <c r="L108" s="335"/>
      <c r="M108" s="162">
        <f t="shared" si="19"/>
        <v>0</v>
      </c>
      <c r="N108" s="335"/>
      <c r="O108" s="162">
        <f t="shared" si="21"/>
        <v>0</v>
      </c>
      <c r="P108" s="162">
        <f t="shared" si="22"/>
        <v>0</v>
      </c>
    </row>
    <row r="109" spans="1:16">
      <c r="B109" s="9" t="str">
        <f t="shared" si="23"/>
        <v/>
      </c>
      <c r="C109" s="157">
        <f>IF(D93="","-",+C108+1)</f>
        <v>2019</v>
      </c>
      <c r="D109" s="158">
        <f>IF(F108+SUM(E$99:E108)=D$92,F108,D$92-SUM(E$99:E108))</f>
        <v>9296483</v>
      </c>
      <c r="E109" s="165">
        <f>IF(+J96&lt;F108,J96,D109)</f>
        <v>249045</v>
      </c>
      <c r="F109" s="163">
        <f t="shared" si="24"/>
        <v>9047438</v>
      </c>
      <c r="G109" s="163">
        <f t="shared" si="25"/>
        <v>9171960.5</v>
      </c>
      <c r="H109" s="167">
        <f t="shared" si="26"/>
        <v>1412531.3165316172</v>
      </c>
      <c r="I109" s="317">
        <f t="shared" si="27"/>
        <v>1412531.3165316172</v>
      </c>
      <c r="J109" s="162">
        <f t="shared" si="17"/>
        <v>0</v>
      </c>
      <c r="K109" s="162"/>
      <c r="L109" s="335"/>
      <c r="M109" s="162">
        <f t="shared" si="19"/>
        <v>0</v>
      </c>
      <c r="N109" s="335"/>
      <c r="O109" s="162">
        <f t="shared" si="21"/>
        <v>0</v>
      </c>
      <c r="P109" s="162">
        <f t="shared" si="22"/>
        <v>0</v>
      </c>
    </row>
    <row r="110" spans="1:16">
      <c r="B110" s="9" t="str">
        <f t="shared" si="23"/>
        <v/>
      </c>
      <c r="C110" s="157">
        <f>IF(D93="","-",+C109+1)</f>
        <v>2020</v>
      </c>
      <c r="D110" s="158">
        <f>IF(F109+SUM(E$99:E109)=D$92,F109,D$92-SUM(E$99:E109))</f>
        <v>9047438</v>
      </c>
      <c r="E110" s="165">
        <f>IF(+J96&lt;F109,J96,D110)</f>
        <v>249045</v>
      </c>
      <c r="F110" s="163">
        <f t="shared" si="24"/>
        <v>8798393</v>
      </c>
      <c r="G110" s="163">
        <f t="shared" si="25"/>
        <v>8922915.5</v>
      </c>
      <c r="H110" s="167">
        <f t="shared" si="26"/>
        <v>1380939.3303144267</v>
      </c>
      <c r="I110" s="317">
        <f t="shared" si="27"/>
        <v>1380939.3303144267</v>
      </c>
      <c r="J110" s="162">
        <f t="shared" si="17"/>
        <v>0</v>
      </c>
      <c r="K110" s="162"/>
      <c r="L110" s="335"/>
      <c r="M110" s="162">
        <f t="shared" si="19"/>
        <v>0</v>
      </c>
      <c r="N110" s="335"/>
      <c r="O110" s="162">
        <f t="shared" si="21"/>
        <v>0</v>
      </c>
      <c r="P110" s="162">
        <f t="shared" si="22"/>
        <v>0</v>
      </c>
    </row>
    <row r="111" spans="1:16">
      <c r="B111" s="9" t="str">
        <f t="shared" si="23"/>
        <v/>
      </c>
      <c r="C111" s="157">
        <f>IF(D93="","-",+C110+1)</f>
        <v>2021</v>
      </c>
      <c r="D111" s="158">
        <f>IF(F110+SUM(E$99:E110)=D$92,F110,D$92-SUM(E$99:E110))</f>
        <v>8798393</v>
      </c>
      <c r="E111" s="165">
        <f>IF(+J96&lt;F110,J96,D111)</f>
        <v>249045</v>
      </c>
      <c r="F111" s="163">
        <f t="shared" si="24"/>
        <v>8549348</v>
      </c>
      <c r="G111" s="163">
        <f t="shared" si="25"/>
        <v>8673870.5</v>
      </c>
      <c r="H111" s="167">
        <f t="shared" si="26"/>
        <v>1349347.3440972359</v>
      </c>
      <c r="I111" s="317">
        <f t="shared" si="27"/>
        <v>1349347.3440972359</v>
      </c>
      <c r="J111" s="162">
        <f t="shared" si="17"/>
        <v>0</v>
      </c>
      <c r="K111" s="162"/>
      <c r="L111" s="335"/>
      <c r="M111" s="162">
        <f t="shared" si="19"/>
        <v>0</v>
      </c>
      <c r="N111" s="335"/>
      <c r="O111" s="162">
        <f t="shared" si="21"/>
        <v>0</v>
      </c>
      <c r="P111" s="162">
        <f t="shared" si="22"/>
        <v>0</v>
      </c>
    </row>
    <row r="112" spans="1:16">
      <c r="B112" s="9" t="str">
        <f t="shared" si="23"/>
        <v/>
      </c>
      <c r="C112" s="157">
        <f>IF(D93="","-",+C111+1)</f>
        <v>2022</v>
      </c>
      <c r="D112" s="158">
        <f>IF(F111+SUM(E$99:E111)=D$92,F111,D$92-SUM(E$99:E111))</f>
        <v>8549348</v>
      </c>
      <c r="E112" s="165">
        <f>IF(+J96&lt;F111,J96,D112)</f>
        <v>249045</v>
      </c>
      <c r="F112" s="163">
        <f t="shared" si="24"/>
        <v>8300303</v>
      </c>
      <c r="G112" s="163">
        <f t="shared" si="25"/>
        <v>8424825.5</v>
      </c>
      <c r="H112" s="167">
        <f t="shared" si="26"/>
        <v>1317755.3578800454</v>
      </c>
      <c r="I112" s="317">
        <f t="shared" si="27"/>
        <v>1317755.3578800454</v>
      </c>
      <c r="J112" s="162">
        <f t="shared" si="17"/>
        <v>0</v>
      </c>
      <c r="K112" s="162"/>
      <c r="L112" s="335"/>
      <c r="M112" s="162">
        <f t="shared" si="19"/>
        <v>0</v>
      </c>
      <c r="N112" s="335"/>
      <c r="O112" s="162">
        <f t="shared" si="21"/>
        <v>0</v>
      </c>
      <c r="P112" s="162">
        <f t="shared" si="22"/>
        <v>0</v>
      </c>
    </row>
    <row r="113" spans="2:16">
      <c r="B113" s="9" t="str">
        <f t="shared" si="23"/>
        <v/>
      </c>
      <c r="C113" s="157">
        <f>IF(D93="","-",+C112+1)</f>
        <v>2023</v>
      </c>
      <c r="D113" s="158">
        <f>IF(F112+SUM(E$99:E112)=D$92,F112,D$92-SUM(E$99:E112))</f>
        <v>8300303</v>
      </c>
      <c r="E113" s="165">
        <f>IF(+J96&lt;F112,J96,D113)</f>
        <v>249045</v>
      </c>
      <c r="F113" s="163">
        <f t="shared" si="24"/>
        <v>8051258</v>
      </c>
      <c r="G113" s="163">
        <f t="shared" si="25"/>
        <v>8175780.5</v>
      </c>
      <c r="H113" s="167">
        <f t="shared" si="26"/>
        <v>1286163.3716628547</v>
      </c>
      <c r="I113" s="317">
        <f t="shared" si="27"/>
        <v>1286163.3716628547</v>
      </c>
      <c r="J113" s="162">
        <f t="shared" si="17"/>
        <v>0</v>
      </c>
      <c r="K113" s="162"/>
      <c r="L113" s="335"/>
      <c r="M113" s="162">
        <f t="shared" si="19"/>
        <v>0</v>
      </c>
      <c r="N113" s="335"/>
      <c r="O113" s="162">
        <f t="shared" si="21"/>
        <v>0</v>
      </c>
      <c r="P113" s="162">
        <f t="shared" si="22"/>
        <v>0</v>
      </c>
    </row>
    <row r="114" spans="2:16">
      <c r="B114" s="9" t="str">
        <f t="shared" si="23"/>
        <v/>
      </c>
      <c r="C114" s="157">
        <f>IF(D93="","-",+C113+1)</f>
        <v>2024</v>
      </c>
      <c r="D114" s="158">
        <f>IF(F113+SUM(E$99:E113)=D$92,F113,D$92-SUM(E$99:E113))</f>
        <v>8051258</v>
      </c>
      <c r="E114" s="165">
        <f>IF(+J96&lt;F113,J96,D114)</f>
        <v>249045</v>
      </c>
      <c r="F114" s="163">
        <f t="shared" si="24"/>
        <v>7802213</v>
      </c>
      <c r="G114" s="163">
        <f t="shared" si="25"/>
        <v>7926735.5</v>
      </c>
      <c r="H114" s="167">
        <f t="shared" si="26"/>
        <v>1254571.3854456642</v>
      </c>
      <c r="I114" s="317">
        <f t="shared" si="27"/>
        <v>1254571.3854456642</v>
      </c>
      <c r="J114" s="162">
        <f t="shared" si="17"/>
        <v>0</v>
      </c>
      <c r="K114" s="162"/>
      <c r="L114" s="335"/>
      <c r="M114" s="162">
        <f t="shared" si="19"/>
        <v>0</v>
      </c>
      <c r="N114" s="335"/>
      <c r="O114" s="162">
        <f t="shared" si="21"/>
        <v>0</v>
      </c>
      <c r="P114" s="162">
        <f t="shared" si="22"/>
        <v>0</v>
      </c>
    </row>
    <row r="115" spans="2:16">
      <c r="B115" s="9" t="str">
        <f t="shared" si="23"/>
        <v/>
      </c>
      <c r="C115" s="157">
        <f>IF(D93="","-",+C114+1)</f>
        <v>2025</v>
      </c>
      <c r="D115" s="158">
        <f>IF(F114+SUM(E$99:E114)=D$92,F114,D$92-SUM(E$99:E114))</f>
        <v>7802213</v>
      </c>
      <c r="E115" s="165">
        <f>IF(+J96&lt;F114,J96,D115)</f>
        <v>249045</v>
      </c>
      <c r="F115" s="163">
        <f t="shared" si="24"/>
        <v>7553168</v>
      </c>
      <c r="G115" s="163">
        <f t="shared" si="25"/>
        <v>7677690.5</v>
      </c>
      <c r="H115" s="167">
        <f t="shared" si="26"/>
        <v>1222979.3992284737</v>
      </c>
      <c r="I115" s="317">
        <f t="shared" si="27"/>
        <v>1222979.3992284737</v>
      </c>
      <c r="J115" s="162">
        <f t="shared" si="17"/>
        <v>0</v>
      </c>
      <c r="K115" s="162"/>
      <c r="L115" s="335"/>
      <c r="M115" s="162">
        <f t="shared" si="19"/>
        <v>0</v>
      </c>
      <c r="N115" s="335"/>
      <c r="O115" s="162">
        <f t="shared" si="21"/>
        <v>0</v>
      </c>
      <c r="P115" s="162">
        <f t="shared" si="22"/>
        <v>0</v>
      </c>
    </row>
    <row r="116" spans="2:16">
      <c r="B116" s="9" t="str">
        <f t="shared" si="23"/>
        <v/>
      </c>
      <c r="C116" s="157">
        <f>IF(D93="","-",+C115+1)</f>
        <v>2026</v>
      </c>
      <c r="D116" s="158">
        <f>IF(F115+SUM(E$99:E115)=D$92,F115,D$92-SUM(E$99:E115))</f>
        <v>7553168</v>
      </c>
      <c r="E116" s="165">
        <f>IF(+J96&lt;F115,J96,D116)</f>
        <v>249045</v>
      </c>
      <c r="F116" s="163">
        <f t="shared" si="24"/>
        <v>7304123</v>
      </c>
      <c r="G116" s="163">
        <f t="shared" si="25"/>
        <v>7428645.5</v>
      </c>
      <c r="H116" s="167">
        <f t="shared" si="26"/>
        <v>1191387.4130112831</v>
      </c>
      <c r="I116" s="317">
        <f t="shared" si="27"/>
        <v>1191387.4130112831</v>
      </c>
      <c r="J116" s="162">
        <f t="shared" si="17"/>
        <v>0</v>
      </c>
      <c r="K116" s="162"/>
      <c r="L116" s="335"/>
      <c r="M116" s="162">
        <f t="shared" si="19"/>
        <v>0</v>
      </c>
      <c r="N116" s="335"/>
      <c r="O116" s="162">
        <f t="shared" si="21"/>
        <v>0</v>
      </c>
      <c r="P116" s="162">
        <f t="shared" si="22"/>
        <v>0</v>
      </c>
    </row>
    <row r="117" spans="2:16">
      <c r="B117" s="9" t="str">
        <f t="shared" si="23"/>
        <v/>
      </c>
      <c r="C117" s="157">
        <f>IF(D93="","-",+C116+1)</f>
        <v>2027</v>
      </c>
      <c r="D117" s="158">
        <f>IF(F116+SUM(E$99:E116)=D$92,F116,D$92-SUM(E$99:E116))</f>
        <v>7304123</v>
      </c>
      <c r="E117" s="165">
        <f>IF(+J96&lt;F116,J96,D117)</f>
        <v>249045</v>
      </c>
      <c r="F117" s="163">
        <f t="shared" si="24"/>
        <v>7055078</v>
      </c>
      <c r="G117" s="163">
        <f t="shared" si="25"/>
        <v>7179600.5</v>
      </c>
      <c r="H117" s="167">
        <f t="shared" si="26"/>
        <v>1159795.4267940924</v>
      </c>
      <c r="I117" s="317">
        <f t="shared" si="27"/>
        <v>1159795.4267940924</v>
      </c>
      <c r="J117" s="162">
        <f t="shared" si="17"/>
        <v>0</v>
      </c>
      <c r="K117" s="162"/>
      <c r="L117" s="335"/>
      <c r="M117" s="162">
        <f t="shared" si="19"/>
        <v>0</v>
      </c>
      <c r="N117" s="335"/>
      <c r="O117" s="162">
        <f t="shared" si="21"/>
        <v>0</v>
      </c>
      <c r="P117" s="162">
        <f t="shared" si="22"/>
        <v>0</v>
      </c>
    </row>
    <row r="118" spans="2:16">
      <c r="B118" s="9" t="str">
        <f t="shared" si="23"/>
        <v/>
      </c>
      <c r="C118" s="157">
        <f>IF(D93="","-",+C117+1)</f>
        <v>2028</v>
      </c>
      <c r="D118" s="158">
        <f>IF(F117+SUM(E$99:E117)=D$92,F117,D$92-SUM(E$99:E117))</f>
        <v>7055078</v>
      </c>
      <c r="E118" s="165">
        <f>IF(+J96&lt;F117,J96,D118)</f>
        <v>249045</v>
      </c>
      <c r="F118" s="163">
        <f t="shared" si="24"/>
        <v>6806033</v>
      </c>
      <c r="G118" s="163">
        <f t="shared" si="25"/>
        <v>6930555.5</v>
      </c>
      <c r="H118" s="167">
        <f t="shared" si="26"/>
        <v>1128203.4405769017</v>
      </c>
      <c r="I118" s="317">
        <f t="shared" si="27"/>
        <v>1128203.4405769017</v>
      </c>
      <c r="J118" s="162">
        <f t="shared" si="17"/>
        <v>0</v>
      </c>
      <c r="K118" s="162"/>
      <c r="L118" s="335"/>
      <c r="M118" s="162">
        <f t="shared" si="19"/>
        <v>0</v>
      </c>
      <c r="N118" s="335"/>
      <c r="O118" s="162">
        <f t="shared" si="21"/>
        <v>0</v>
      </c>
      <c r="P118" s="162">
        <f t="shared" si="22"/>
        <v>0</v>
      </c>
    </row>
    <row r="119" spans="2:16">
      <c r="B119" s="9" t="str">
        <f t="shared" si="23"/>
        <v/>
      </c>
      <c r="C119" s="157">
        <f>IF(D93="","-",+C118+1)</f>
        <v>2029</v>
      </c>
      <c r="D119" s="158">
        <f>IF(F118+SUM(E$99:E118)=D$92,F118,D$92-SUM(E$99:E118))</f>
        <v>6806033</v>
      </c>
      <c r="E119" s="165">
        <f>IF(+J96&lt;F118,J96,D119)</f>
        <v>249045</v>
      </c>
      <c r="F119" s="163">
        <f t="shared" si="24"/>
        <v>6556988</v>
      </c>
      <c r="G119" s="163">
        <f t="shared" si="25"/>
        <v>6681510.5</v>
      </c>
      <c r="H119" s="167">
        <f t="shared" si="26"/>
        <v>1096611.4543597111</v>
      </c>
      <c r="I119" s="317">
        <f t="shared" si="27"/>
        <v>1096611.4543597111</v>
      </c>
      <c r="J119" s="162">
        <f t="shared" si="17"/>
        <v>0</v>
      </c>
      <c r="K119" s="162"/>
      <c r="L119" s="335"/>
      <c r="M119" s="162">
        <f t="shared" si="19"/>
        <v>0</v>
      </c>
      <c r="N119" s="335"/>
      <c r="O119" s="162">
        <f t="shared" si="21"/>
        <v>0</v>
      </c>
      <c r="P119" s="162">
        <f t="shared" si="22"/>
        <v>0</v>
      </c>
    </row>
    <row r="120" spans="2:16">
      <c r="B120" s="9" t="str">
        <f t="shared" si="23"/>
        <v/>
      </c>
      <c r="C120" s="157">
        <f>IF(D93="","-",+C119+1)</f>
        <v>2030</v>
      </c>
      <c r="D120" s="158">
        <f>IF(F119+SUM(E$99:E119)=D$92,F119,D$92-SUM(E$99:E119))</f>
        <v>6556988</v>
      </c>
      <c r="E120" s="165">
        <f>IF(+J96&lt;F119,J96,D120)</f>
        <v>249045</v>
      </c>
      <c r="F120" s="163">
        <f t="shared" si="24"/>
        <v>6307943</v>
      </c>
      <c r="G120" s="163">
        <f t="shared" si="25"/>
        <v>6432465.5</v>
      </c>
      <c r="H120" s="167">
        <f t="shared" si="26"/>
        <v>1065019.4681425206</v>
      </c>
      <c r="I120" s="317">
        <f t="shared" si="27"/>
        <v>1065019.4681425206</v>
      </c>
      <c r="J120" s="162">
        <f t="shared" si="17"/>
        <v>0</v>
      </c>
      <c r="K120" s="162"/>
      <c r="L120" s="335"/>
      <c r="M120" s="162">
        <f t="shared" si="19"/>
        <v>0</v>
      </c>
      <c r="N120" s="335"/>
      <c r="O120" s="162">
        <f t="shared" si="21"/>
        <v>0</v>
      </c>
      <c r="P120" s="162">
        <f t="shared" si="22"/>
        <v>0</v>
      </c>
    </row>
    <row r="121" spans="2:16">
      <c r="B121" s="9" t="str">
        <f t="shared" si="23"/>
        <v/>
      </c>
      <c r="C121" s="157">
        <f>IF(D93="","-",+C120+1)</f>
        <v>2031</v>
      </c>
      <c r="D121" s="158">
        <f>IF(F120+SUM(E$99:E120)=D$92,F120,D$92-SUM(E$99:E120))</f>
        <v>6307943</v>
      </c>
      <c r="E121" s="165">
        <f>IF(+J96&lt;F120,J96,D121)</f>
        <v>249045</v>
      </c>
      <c r="F121" s="163">
        <f t="shared" si="24"/>
        <v>6058898</v>
      </c>
      <c r="G121" s="163">
        <f t="shared" si="25"/>
        <v>6183420.5</v>
      </c>
      <c r="H121" s="167">
        <f t="shared" si="26"/>
        <v>1033427.48192533</v>
      </c>
      <c r="I121" s="317">
        <f t="shared" si="27"/>
        <v>1033427.48192533</v>
      </c>
      <c r="J121" s="162">
        <f t="shared" si="17"/>
        <v>0</v>
      </c>
      <c r="K121" s="162"/>
      <c r="L121" s="335"/>
      <c r="M121" s="162">
        <f t="shared" si="19"/>
        <v>0</v>
      </c>
      <c r="N121" s="335"/>
      <c r="O121" s="162">
        <f t="shared" si="21"/>
        <v>0</v>
      </c>
      <c r="P121" s="162">
        <f t="shared" si="22"/>
        <v>0</v>
      </c>
    </row>
    <row r="122" spans="2:16">
      <c r="B122" s="9" t="str">
        <f t="shared" si="23"/>
        <v/>
      </c>
      <c r="C122" s="157">
        <f>IF(D93="","-",+C121+1)</f>
        <v>2032</v>
      </c>
      <c r="D122" s="158">
        <f>IF(F121+SUM(E$99:E121)=D$92,F121,D$92-SUM(E$99:E121))</f>
        <v>6058898</v>
      </c>
      <c r="E122" s="165">
        <f>IF(+J96&lt;F121,J96,D122)</f>
        <v>249045</v>
      </c>
      <c r="F122" s="163">
        <f t="shared" si="24"/>
        <v>5809853</v>
      </c>
      <c r="G122" s="163">
        <f t="shared" si="25"/>
        <v>5934375.5</v>
      </c>
      <c r="H122" s="167">
        <f t="shared" si="26"/>
        <v>1001835.4957081394</v>
      </c>
      <c r="I122" s="317">
        <f t="shared" si="27"/>
        <v>1001835.4957081394</v>
      </c>
      <c r="J122" s="162">
        <f t="shared" si="17"/>
        <v>0</v>
      </c>
      <c r="K122" s="162"/>
      <c r="L122" s="335"/>
      <c r="M122" s="162">
        <f t="shared" si="19"/>
        <v>0</v>
      </c>
      <c r="N122" s="335"/>
      <c r="O122" s="162">
        <f t="shared" si="21"/>
        <v>0</v>
      </c>
      <c r="P122" s="162">
        <f t="shared" si="22"/>
        <v>0</v>
      </c>
    </row>
    <row r="123" spans="2:16">
      <c r="B123" s="9" t="str">
        <f t="shared" si="23"/>
        <v/>
      </c>
      <c r="C123" s="157">
        <f>IF(D93="","-",+C122+1)</f>
        <v>2033</v>
      </c>
      <c r="D123" s="158">
        <f>IF(F122+SUM(E$99:E122)=D$92,F122,D$92-SUM(E$99:E122))</f>
        <v>5809853</v>
      </c>
      <c r="E123" s="165">
        <f>IF(+J96&lt;F122,J96,D123)</f>
        <v>249045</v>
      </c>
      <c r="F123" s="163">
        <f t="shared" si="24"/>
        <v>5560808</v>
      </c>
      <c r="G123" s="163">
        <f t="shared" si="25"/>
        <v>5685330.5</v>
      </c>
      <c r="H123" s="167">
        <f t="shared" si="26"/>
        <v>970243.50949094875</v>
      </c>
      <c r="I123" s="317">
        <f t="shared" si="27"/>
        <v>970243.50949094875</v>
      </c>
      <c r="J123" s="162">
        <f t="shared" si="17"/>
        <v>0</v>
      </c>
      <c r="K123" s="162"/>
      <c r="L123" s="335"/>
      <c r="M123" s="162">
        <f t="shared" si="19"/>
        <v>0</v>
      </c>
      <c r="N123" s="335"/>
      <c r="O123" s="162">
        <f t="shared" si="21"/>
        <v>0</v>
      </c>
      <c r="P123" s="162">
        <f t="shared" si="22"/>
        <v>0</v>
      </c>
    </row>
    <row r="124" spans="2:16">
      <c r="B124" s="9" t="str">
        <f t="shared" si="23"/>
        <v/>
      </c>
      <c r="C124" s="157">
        <f>IF(D93="","-",+C123+1)</f>
        <v>2034</v>
      </c>
      <c r="D124" s="158">
        <f>IF(F123+SUM(E$99:E123)=D$92,F123,D$92-SUM(E$99:E123))</f>
        <v>5560808</v>
      </c>
      <c r="E124" s="165">
        <f>IF(+J96&lt;F123,J96,D124)</f>
        <v>249045</v>
      </c>
      <c r="F124" s="163">
        <f t="shared" si="24"/>
        <v>5311763</v>
      </c>
      <c r="G124" s="163">
        <f t="shared" si="25"/>
        <v>5436285.5</v>
      </c>
      <c r="H124" s="167">
        <f t="shared" si="26"/>
        <v>938651.52327375824</v>
      </c>
      <c r="I124" s="317">
        <f t="shared" si="27"/>
        <v>938651.52327375824</v>
      </c>
      <c r="J124" s="162">
        <f t="shared" si="17"/>
        <v>0</v>
      </c>
      <c r="K124" s="162"/>
      <c r="L124" s="335"/>
      <c r="M124" s="162">
        <f t="shared" si="19"/>
        <v>0</v>
      </c>
      <c r="N124" s="335"/>
      <c r="O124" s="162">
        <f t="shared" si="21"/>
        <v>0</v>
      </c>
      <c r="P124" s="162">
        <f t="shared" si="22"/>
        <v>0</v>
      </c>
    </row>
    <row r="125" spans="2:16">
      <c r="B125" s="9" t="str">
        <f t="shared" si="23"/>
        <v/>
      </c>
      <c r="C125" s="157">
        <f>IF(D93="","-",+C124+1)</f>
        <v>2035</v>
      </c>
      <c r="D125" s="158">
        <f>IF(F124+SUM(E$99:E124)=D$92,F124,D$92-SUM(E$99:E124))</f>
        <v>5311763</v>
      </c>
      <c r="E125" s="165">
        <f>IF(+J96&lt;F124,J96,D125)</f>
        <v>249045</v>
      </c>
      <c r="F125" s="163">
        <f t="shared" si="24"/>
        <v>5062718</v>
      </c>
      <c r="G125" s="163">
        <f t="shared" si="25"/>
        <v>5187240.5</v>
      </c>
      <c r="H125" s="167">
        <f t="shared" si="26"/>
        <v>907059.53705656761</v>
      </c>
      <c r="I125" s="317">
        <f t="shared" si="27"/>
        <v>907059.53705656761</v>
      </c>
      <c r="J125" s="162">
        <f t="shared" si="17"/>
        <v>0</v>
      </c>
      <c r="K125" s="162"/>
      <c r="L125" s="335"/>
      <c r="M125" s="162">
        <f t="shared" si="19"/>
        <v>0</v>
      </c>
      <c r="N125" s="335"/>
      <c r="O125" s="162">
        <f t="shared" si="21"/>
        <v>0</v>
      </c>
      <c r="P125" s="162">
        <f t="shared" si="22"/>
        <v>0</v>
      </c>
    </row>
    <row r="126" spans="2:16">
      <c r="B126" s="9" t="str">
        <f t="shared" si="23"/>
        <v/>
      </c>
      <c r="C126" s="157">
        <f>IF(D93="","-",+C125+1)</f>
        <v>2036</v>
      </c>
      <c r="D126" s="158">
        <f>IF(F125+SUM(E$99:E125)=D$92,F125,D$92-SUM(E$99:E125))</f>
        <v>5062718</v>
      </c>
      <c r="E126" s="165">
        <f>IF(+J96&lt;F125,J96,D126)</f>
        <v>249045</v>
      </c>
      <c r="F126" s="163">
        <f t="shared" si="24"/>
        <v>4813673</v>
      </c>
      <c r="G126" s="163">
        <f t="shared" si="25"/>
        <v>4938195.5</v>
      </c>
      <c r="H126" s="167">
        <f t="shared" si="26"/>
        <v>875467.55083937699</v>
      </c>
      <c r="I126" s="317">
        <f t="shared" si="27"/>
        <v>875467.55083937699</v>
      </c>
      <c r="J126" s="162">
        <f t="shared" si="17"/>
        <v>0</v>
      </c>
      <c r="K126" s="162"/>
      <c r="L126" s="335"/>
      <c r="M126" s="162">
        <f t="shared" si="19"/>
        <v>0</v>
      </c>
      <c r="N126" s="335"/>
      <c r="O126" s="162">
        <f t="shared" si="21"/>
        <v>0</v>
      </c>
      <c r="P126" s="162">
        <f t="shared" si="22"/>
        <v>0</v>
      </c>
    </row>
    <row r="127" spans="2:16">
      <c r="B127" s="9" t="str">
        <f t="shared" si="23"/>
        <v/>
      </c>
      <c r="C127" s="157">
        <f>IF(D93="","-",+C126+1)</f>
        <v>2037</v>
      </c>
      <c r="D127" s="158">
        <f>IF(F126+SUM(E$99:E126)=D$92,F126,D$92-SUM(E$99:E126))</f>
        <v>4813673</v>
      </c>
      <c r="E127" s="165">
        <f>IF(+J96&lt;F126,J96,D127)</f>
        <v>249045</v>
      </c>
      <c r="F127" s="163">
        <f t="shared" si="24"/>
        <v>4564628</v>
      </c>
      <c r="G127" s="163">
        <f t="shared" si="25"/>
        <v>4689150.5</v>
      </c>
      <c r="H127" s="167">
        <f t="shared" si="26"/>
        <v>843875.56462218636</v>
      </c>
      <c r="I127" s="317">
        <f t="shared" si="27"/>
        <v>843875.56462218636</v>
      </c>
      <c r="J127" s="162">
        <f t="shared" si="17"/>
        <v>0</v>
      </c>
      <c r="K127" s="162"/>
      <c r="L127" s="335"/>
      <c r="M127" s="162">
        <f t="shared" si="19"/>
        <v>0</v>
      </c>
      <c r="N127" s="335"/>
      <c r="O127" s="162">
        <f t="shared" si="21"/>
        <v>0</v>
      </c>
      <c r="P127" s="162">
        <f t="shared" si="22"/>
        <v>0</v>
      </c>
    </row>
    <row r="128" spans="2:16">
      <c r="B128" s="9" t="str">
        <f t="shared" si="23"/>
        <v/>
      </c>
      <c r="C128" s="157">
        <f>IF(D93="","-",+C127+1)</f>
        <v>2038</v>
      </c>
      <c r="D128" s="158">
        <f>IF(F127+SUM(E$99:E127)=D$92,F127,D$92-SUM(E$99:E127))</f>
        <v>4564628</v>
      </c>
      <c r="E128" s="165">
        <f>IF(+J96&lt;F127,J96,D128)</f>
        <v>249045</v>
      </c>
      <c r="F128" s="163">
        <f t="shared" si="24"/>
        <v>4315583</v>
      </c>
      <c r="G128" s="163">
        <f t="shared" si="25"/>
        <v>4440105.5</v>
      </c>
      <c r="H128" s="167">
        <f t="shared" si="26"/>
        <v>812283.57840499585</v>
      </c>
      <c r="I128" s="317">
        <f t="shared" si="27"/>
        <v>812283.57840499585</v>
      </c>
      <c r="J128" s="162">
        <f t="shared" si="17"/>
        <v>0</v>
      </c>
      <c r="K128" s="162"/>
      <c r="L128" s="335"/>
      <c r="M128" s="162">
        <f t="shared" si="19"/>
        <v>0</v>
      </c>
      <c r="N128" s="335"/>
      <c r="O128" s="162">
        <f t="shared" si="21"/>
        <v>0</v>
      </c>
      <c r="P128" s="162">
        <f t="shared" si="22"/>
        <v>0</v>
      </c>
    </row>
    <row r="129" spans="2:16">
      <c r="B129" s="9" t="str">
        <f t="shared" si="23"/>
        <v/>
      </c>
      <c r="C129" s="157">
        <f>IF(D93="","-",+C128+1)</f>
        <v>2039</v>
      </c>
      <c r="D129" s="158">
        <f>IF(F128+SUM(E$99:E128)=D$92,F128,D$92-SUM(E$99:E128))</f>
        <v>4315583</v>
      </c>
      <c r="E129" s="165">
        <f>IF(+J96&lt;F128,J96,D129)</f>
        <v>249045</v>
      </c>
      <c r="F129" s="163">
        <f t="shared" si="24"/>
        <v>4066538</v>
      </c>
      <c r="G129" s="163">
        <f t="shared" si="25"/>
        <v>4191060.5</v>
      </c>
      <c r="H129" s="167">
        <f t="shared" si="26"/>
        <v>780691.59218780522</v>
      </c>
      <c r="I129" s="317">
        <f t="shared" si="27"/>
        <v>780691.59218780522</v>
      </c>
      <c r="J129" s="162">
        <f t="shared" si="17"/>
        <v>0</v>
      </c>
      <c r="K129" s="162"/>
      <c r="L129" s="335"/>
      <c r="M129" s="162">
        <f t="shared" si="19"/>
        <v>0</v>
      </c>
      <c r="N129" s="335"/>
      <c r="O129" s="162">
        <f t="shared" si="21"/>
        <v>0</v>
      </c>
      <c r="P129" s="162">
        <f t="shared" si="22"/>
        <v>0</v>
      </c>
    </row>
    <row r="130" spans="2:16">
      <c r="B130" s="9" t="str">
        <f t="shared" si="23"/>
        <v/>
      </c>
      <c r="C130" s="157">
        <f>IF(D93="","-",+C129+1)</f>
        <v>2040</v>
      </c>
      <c r="D130" s="158">
        <f>IF(F129+SUM(E$99:E129)=D$92,F129,D$92-SUM(E$99:E129))</f>
        <v>4066538</v>
      </c>
      <c r="E130" s="165">
        <f>IF(+J96&lt;F129,J96,D130)</f>
        <v>249045</v>
      </c>
      <c r="F130" s="163">
        <f t="shared" si="24"/>
        <v>3817493</v>
      </c>
      <c r="G130" s="163">
        <f t="shared" si="25"/>
        <v>3942015.5</v>
      </c>
      <c r="H130" s="167">
        <f t="shared" si="26"/>
        <v>749099.60597061459</v>
      </c>
      <c r="I130" s="317">
        <f t="shared" si="27"/>
        <v>749099.60597061459</v>
      </c>
      <c r="J130" s="162">
        <f t="shared" si="17"/>
        <v>0</v>
      </c>
      <c r="K130" s="162"/>
      <c r="L130" s="335"/>
      <c r="M130" s="162">
        <f t="shared" si="19"/>
        <v>0</v>
      </c>
      <c r="N130" s="335"/>
      <c r="O130" s="162">
        <f t="shared" si="21"/>
        <v>0</v>
      </c>
      <c r="P130" s="162">
        <f t="shared" si="22"/>
        <v>0</v>
      </c>
    </row>
    <row r="131" spans="2:16">
      <c r="B131" s="9" t="str">
        <f t="shared" si="23"/>
        <v/>
      </c>
      <c r="C131" s="157">
        <f>IF(D93="","-",+C130+1)</f>
        <v>2041</v>
      </c>
      <c r="D131" s="158">
        <f>IF(F130+SUM(E$99:E130)=D$92,F130,D$92-SUM(E$99:E130))</f>
        <v>3817493</v>
      </c>
      <c r="E131" s="165">
        <f>IF(+J96&lt;F130,J96,D131)</f>
        <v>249045</v>
      </c>
      <c r="F131" s="163">
        <f t="shared" ref="F131:F154" si="28">+D131-E131</f>
        <v>3568448</v>
      </c>
      <c r="G131" s="163">
        <f t="shared" ref="G131:G154" si="29">+(F131+D131)/2</f>
        <v>3692970.5</v>
      </c>
      <c r="H131" s="167">
        <f t="shared" si="26"/>
        <v>717507.61975342396</v>
      </c>
      <c r="I131" s="317">
        <f t="shared" si="27"/>
        <v>717507.61975342396</v>
      </c>
      <c r="J131" s="162">
        <f t="shared" ref="J131:J154" si="30">+I131-H131</f>
        <v>0</v>
      </c>
      <c r="K131" s="162"/>
      <c r="L131" s="335"/>
      <c r="M131" s="162">
        <f t="shared" ref="M131:M154" si="31">IF(L131&lt;&gt;0,+H131-L131,0)</f>
        <v>0</v>
      </c>
      <c r="N131" s="335"/>
      <c r="O131" s="162">
        <f t="shared" ref="O131:O154" si="32">IF(N131&lt;&gt;0,+I131-N131,0)</f>
        <v>0</v>
      </c>
      <c r="P131" s="162">
        <f t="shared" ref="P131:P154" si="33">+O131-M131</f>
        <v>0</v>
      </c>
    </row>
    <row r="132" spans="2:16">
      <c r="B132" s="9" t="str">
        <f t="shared" si="23"/>
        <v/>
      </c>
      <c r="C132" s="157">
        <f>IF(D93="","-",+C131+1)</f>
        <v>2042</v>
      </c>
      <c r="D132" s="158">
        <f>IF(F131+SUM(E$99:E131)=D$92,F131,D$92-SUM(E$99:E131))</f>
        <v>3568448</v>
      </c>
      <c r="E132" s="165">
        <f>IF(+J96&lt;F131,J96,D132)</f>
        <v>249045</v>
      </c>
      <c r="F132" s="163">
        <f t="shared" si="28"/>
        <v>3319403</v>
      </c>
      <c r="G132" s="163">
        <f t="shared" si="29"/>
        <v>3443925.5</v>
      </c>
      <c r="H132" s="167">
        <f t="shared" si="26"/>
        <v>685915.63353623333</v>
      </c>
      <c r="I132" s="317">
        <f t="shared" si="27"/>
        <v>685915.63353623333</v>
      </c>
      <c r="J132" s="162">
        <f t="shared" si="30"/>
        <v>0</v>
      </c>
      <c r="K132" s="162"/>
      <c r="L132" s="335"/>
      <c r="M132" s="162">
        <f t="shared" si="31"/>
        <v>0</v>
      </c>
      <c r="N132" s="335"/>
      <c r="O132" s="162">
        <f t="shared" si="32"/>
        <v>0</v>
      </c>
      <c r="P132" s="162">
        <f t="shared" si="33"/>
        <v>0</v>
      </c>
    </row>
    <row r="133" spans="2:16">
      <c r="B133" s="9" t="str">
        <f t="shared" si="23"/>
        <v/>
      </c>
      <c r="C133" s="157">
        <f>IF(D93="","-",+C132+1)</f>
        <v>2043</v>
      </c>
      <c r="D133" s="158">
        <f>IF(F132+SUM(E$99:E132)=D$92,F132,D$92-SUM(E$99:E132))</f>
        <v>3319403</v>
      </c>
      <c r="E133" s="165">
        <f>IF(+J96&lt;F132,J96,D133)</f>
        <v>249045</v>
      </c>
      <c r="F133" s="163">
        <f t="shared" si="28"/>
        <v>3070358</v>
      </c>
      <c r="G133" s="163">
        <f t="shared" si="29"/>
        <v>3194880.5</v>
      </c>
      <c r="H133" s="167">
        <f t="shared" si="26"/>
        <v>654323.64731904282</v>
      </c>
      <c r="I133" s="317">
        <f t="shared" si="27"/>
        <v>654323.64731904282</v>
      </c>
      <c r="J133" s="162">
        <f t="shared" si="30"/>
        <v>0</v>
      </c>
      <c r="K133" s="162"/>
      <c r="L133" s="335"/>
      <c r="M133" s="162">
        <f t="shared" si="31"/>
        <v>0</v>
      </c>
      <c r="N133" s="335"/>
      <c r="O133" s="162">
        <f t="shared" si="32"/>
        <v>0</v>
      </c>
      <c r="P133" s="162">
        <f t="shared" si="33"/>
        <v>0</v>
      </c>
    </row>
    <row r="134" spans="2:16">
      <c r="B134" s="9" t="str">
        <f t="shared" si="23"/>
        <v/>
      </c>
      <c r="C134" s="157">
        <f>IF(D93="","-",+C133+1)</f>
        <v>2044</v>
      </c>
      <c r="D134" s="158">
        <f>IF(F133+SUM(E$99:E133)=D$92,F133,D$92-SUM(E$99:E133))</f>
        <v>3070358</v>
      </c>
      <c r="E134" s="165">
        <f>IF(+J96&lt;F133,J96,D134)</f>
        <v>249045</v>
      </c>
      <c r="F134" s="163">
        <f t="shared" si="28"/>
        <v>2821313</v>
      </c>
      <c r="G134" s="163">
        <f t="shared" si="29"/>
        <v>2945835.5</v>
      </c>
      <c r="H134" s="167">
        <f t="shared" si="26"/>
        <v>622731.66110185219</v>
      </c>
      <c r="I134" s="317">
        <f t="shared" si="27"/>
        <v>622731.66110185219</v>
      </c>
      <c r="J134" s="162">
        <f t="shared" si="30"/>
        <v>0</v>
      </c>
      <c r="K134" s="162"/>
      <c r="L134" s="335"/>
      <c r="M134" s="162">
        <f t="shared" si="31"/>
        <v>0</v>
      </c>
      <c r="N134" s="335"/>
      <c r="O134" s="162">
        <f t="shared" si="32"/>
        <v>0</v>
      </c>
      <c r="P134" s="162">
        <f t="shared" si="33"/>
        <v>0</v>
      </c>
    </row>
    <row r="135" spans="2:16">
      <c r="B135" s="9" t="str">
        <f t="shared" si="23"/>
        <v/>
      </c>
      <c r="C135" s="157">
        <f>IF(D93="","-",+C134+1)</f>
        <v>2045</v>
      </c>
      <c r="D135" s="158">
        <f>IF(F134+SUM(E$99:E134)=D$92,F134,D$92-SUM(E$99:E134))</f>
        <v>2821313</v>
      </c>
      <c r="E135" s="165">
        <f>IF(+J96&lt;F134,J96,D135)</f>
        <v>249045</v>
      </c>
      <c r="F135" s="163">
        <f t="shared" si="28"/>
        <v>2572268</v>
      </c>
      <c r="G135" s="163">
        <f t="shared" si="29"/>
        <v>2696790.5</v>
      </c>
      <c r="H135" s="167">
        <f t="shared" si="26"/>
        <v>591139.67488466157</v>
      </c>
      <c r="I135" s="317">
        <f t="shared" si="27"/>
        <v>591139.67488466157</v>
      </c>
      <c r="J135" s="162">
        <f t="shared" si="30"/>
        <v>0</v>
      </c>
      <c r="K135" s="162"/>
      <c r="L135" s="335"/>
      <c r="M135" s="162">
        <f t="shared" si="31"/>
        <v>0</v>
      </c>
      <c r="N135" s="335"/>
      <c r="O135" s="162">
        <f t="shared" si="32"/>
        <v>0</v>
      </c>
      <c r="P135" s="162">
        <f t="shared" si="33"/>
        <v>0</v>
      </c>
    </row>
    <row r="136" spans="2:16">
      <c r="B136" s="9" t="str">
        <f t="shared" si="23"/>
        <v/>
      </c>
      <c r="C136" s="157">
        <f>IF(D93="","-",+C135+1)</f>
        <v>2046</v>
      </c>
      <c r="D136" s="158">
        <f>IF(F135+SUM(E$99:E135)=D$92,F135,D$92-SUM(E$99:E135))</f>
        <v>2572268</v>
      </c>
      <c r="E136" s="165">
        <f>IF(+J96&lt;F135,J96,D136)</f>
        <v>249045</v>
      </c>
      <c r="F136" s="163">
        <f t="shared" si="28"/>
        <v>2323223</v>
      </c>
      <c r="G136" s="163">
        <f t="shared" si="29"/>
        <v>2447745.5</v>
      </c>
      <c r="H136" s="167">
        <f t="shared" si="26"/>
        <v>559547.68866747105</v>
      </c>
      <c r="I136" s="317">
        <f t="shared" si="27"/>
        <v>559547.68866747105</v>
      </c>
      <c r="J136" s="162">
        <f t="shared" si="30"/>
        <v>0</v>
      </c>
      <c r="K136" s="162"/>
      <c r="L136" s="335"/>
      <c r="M136" s="162">
        <f t="shared" si="31"/>
        <v>0</v>
      </c>
      <c r="N136" s="335"/>
      <c r="O136" s="162">
        <f t="shared" si="32"/>
        <v>0</v>
      </c>
      <c r="P136" s="162">
        <f t="shared" si="33"/>
        <v>0</v>
      </c>
    </row>
    <row r="137" spans="2:16">
      <c r="B137" s="9" t="str">
        <f t="shared" si="23"/>
        <v/>
      </c>
      <c r="C137" s="157">
        <f>IF(D93="","-",+C136+1)</f>
        <v>2047</v>
      </c>
      <c r="D137" s="158">
        <f>IF(F136+SUM(E$99:E136)=D$92,F136,D$92-SUM(E$99:E136))</f>
        <v>2323223</v>
      </c>
      <c r="E137" s="165">
        <f>IF(+J96&lt;F136,J96,D137)</f>
        <v>249045</v>
      </c>
      <c r="F137" s="163">
        <f t="shared" si="28"/>
        <v>2074178</v>
      </c>
      <c r="G137" s="163">
        <f t="shared" si="29"/>
        <v>2198700.5</v>
      </c>
      <c r="H137" s="167">
        <f t="shared" si="26"/>
        <v>527955.70245028031</v>
      </c>
      <c r="I137" s="317">
        <f t="shared" si="27"/>
        <v>527955.70245028031</v>
      </c>
      <c r="J137" s="162">
        <f t="shared" si="30"/>
        <v>0</v>
      </c>
      <c r="K137" s="162"/>
      <c r="L137" s="335"/>
      <c r="M137" s="162">
        <f t="shared" si="31"/>
        <v>0</v>
      </c>
      <c r="N137" s="335"/>
      <c r="O137" s="162">
        <f t="shared" si="32"/>
        <v>0</v>
      </c>
      <c r="P137" s="162">
        <f t="shared" si="33"/>
        <v>0</v>
      </c>
    </row>
    <row r="138" spans="2:16">
      <c r="B138" s="9" t="str">
        <f t="shared" si="23"/>
        <v/>
      </c>
      <c r="C138" s="157">
        <f>IF(D93="","-",+C137+1)</f>
        <v>2048</v>
      </c>
      <c r="D138" s="158">
        <f>IF(F137+SUM(E$99:E137)=D$92,F137,D$92-SUM(E$99:E137))</f>
        <v>2074178</v>
      </c>
      <c r="E138" s="165">
        <f>IF(+J96&lt;F137,J96,D138)</f>
        <v>249045</v>
      </c>
      <c r="F138" s="163">
        <f t="shared" si="28"/>
        <v>1825133</v>
      </c>
      <c r="G138" s="163">
        <f t="shared" si="29"/>
        <v>1949655.5</v>
      </c>
      <c r="H138" s="167">
        <f t="shared" si="26"/>
        <v>496363.7162330898</v>
      </c>
      <c r="I138" s="317">
        <f t="shared" si="27"/>
        <v>496363.7162330898</v>
      </c>
      <c r="J138" s="162">
        <f t="shared" si="30"/>
        <v>0</v>
      </c>
      <c r="K138" s="162"/>
      <c r="L138" s="335"/>
      <c r="M138" s="162">
        <f t="shared" si="31"/>
        <v>0</v>
      </c>
      <c r="N138" s="335"/>
      <c r="O138" s="162">
        <f t="shared" si="32"/>
        <v>0</v>
      </c>
      <c r="P138" s="162">
        <f t="shared" si="33"/>
        <v>0</v>
      </c>
    </row>
    <row r="139" spans="2:16">
      <c r="B139" s="9" t="str">
        <f t="shared" si="23"/>
        <v/>
      </c>
      <c r="C139" s="157">
        <f>IF(D93="","-",+C138+1)</f>
        <v>2049</v>
      </c>
      <c r="D139" s="158">
        <f>IF(F138+SUM(E$99:E138)=D$92,F138,D$92-SUM(E$99:E138))</f>
        <v>1825133</v>
      </c>
      <c r="E139" s="165">
        <f>IF(+J96&lt;F138,J96,D139)</f>
        <v>249045</v>
      </c>
      <c r="F139" s="163">
        <f t="shared" si="28"/>
        <v>1576088</v>
      </c>
      <c r="G139" s="163">
        <f t="shared" si="29"/>
        <v>1700610.5</v>
      </c>
      <c r="H139" s="167">
        <f t="shared" si="26"/>
        <v>464771.73001589917</v>
      </c>
      <c r="I139" s="317">
        <f t="shared" si="27"/>
        <v>464771.73001589917</v>
      </c>
      <c r="J139" s="162">
        <f t="shared" si="30"/>
        <v>0</v>
      </c>
      <c r="K139" s="162"/>
      <c r="L139" s="335"/>
      <c r="M139" s="162">
        <f t="shared" si="31"/>
        <v>0</v>
      </c>
      <c r="N139" s="335"/>
      <c r="O139" s="162">
        <f t="shared" si="32"/>
        <v>0</v>
      </c>
      <c r="P139" s="162">
        <f t="shared" si="33"/>
        <v>0</v>
      </c>
    </row>
    <row r="140" spans="2:16">
      <c r="B140" s="9" t="str">
        <f t="shared" si="23"/>
        <v/>
      </c>
      <c r="C140" s="157">
        <f>IF(D93="","-",+C139+1)</f>
        <v>2050</v>
      </c>
      <c r="D140" s="158">
        <f>IF(F139+SUM(E$99:E139)=D$92,F139,D$92-SUM(E$99:E139))</f>
        <v>1576088</v>
      </c>
      <c r="E140" s="165">
        <f>IF(+J96&lt;F139,J96,D140)</f>
        <v>249045</v>
      </c>
      <c r="F140" s="163">
        <f t="shared" si="28"/>
        <v>1327043</v>
      </c>
      <c r="G140" s="163">
        <f t="shared" si="29"/>
        <v>1451565.5</v>
      </c>
      <c r="H140" s="167">
        <f t="shared" si="26"/>
        <v>433179.7437987086</v>
      </c>
      <c r="I140" s="317">
        <f t="shared" si="27"/>
        <v>433179.7437987086</v>
      </c>
      <c r="J140" s="162">
        <f t="shared" si="30"/>
        <v>0</v>
      </c>
      <c r="K140" s="162"/>
      <c r="L140" s="335"/>
      <c r="M140" s="162">
        <f t="shared" si="31"/>
        <v>0</v>
      </c>
      <c r="N140" s="335"/>
      <c r="O140" s="162">
        <f t="shared" si="32"/>
        <v>0</v>
      </c>
      <c r="P140" s="162">
        <f t="shared" si="33"/>
        <v>0</v>
      </c>
    </row>
    <row r="141" spans="2:16">
      <c r="B141" s="9" t="str">
        <f t="shared" si="23"/>
        <v/>
      </c>
      <c r="C141" s="157">
        <f>IF(D93="","-",+C140+1)</f>
        <v>2051</v>
      </c>
      <c r="D141" s="158">
        <f>IF(F140+SUM(E$99:E140)=D$92,F140,D$92-SUM(E$99:E140))</f>
        <v>1327043</v>
      </c>
      <c r="E141" s="165">
        <f>IF(+J96&lt;F140,J96,D141)</f>
        <v>249045</v>
      </c>
      <c r="F141" s="163">
        <f t="shared" si="28"/>
        <v>1077998</v>
      </c>
      <c r="G141" s="163">
        <f t="shared" si="29"/>
        <v>1202520.5</v>
      </c>
      <c r="H141" s="167">
        <f t="shared" si="26"/>
        <v>401587.75758151803</v>
      </c>
      <c r="I141" s="317">
        <f t="shared" si="27"/>
        <v>401587.75758151803</v>
      </c>
      <c r="J141" s="162">
        <f t="shared" si="30"/>
        <v>0</v>
      </c>
      <c r="K141" s="162"/>
      <c r="L141" s="335"/>
      <c r="M141" s="162">
        <f t="shared" si="31"/>
        <v>0</v>
      </c>
      <c r="N141" s="335"/>
      <c r="O141" s="162">
        <f t="shared" si="32"/>
        <v>0</v>
      </c>
      <c r="P141" s="162">
        <f t="shared" si="33"/>
        <v>0</v>
      </c>
    </row>
    <row r="142" spans="2:16">
      <c r="B142" s="9" t="str">
        <f t="shared" si="23"/>
        <v/>
      </c>
      <c r="C142" s="157">
        <f>IF(D93="","-",+C141+1)</f>
        <v>2052</v>
      </c>
      <c r="D142" s="158">
        <f>IF(F141+SUM(E$99:E141)=D$92,F141,D$92-SUM(E$99:E141))</f>
        <v>1077998</v>
      </c>
      <c r="E142" s="165">
        <f>IF(+J96&lt;F141,J96,D142)</f>
        <v>249045</v>
      </c>
      <c r="F142" s="163">
        <f t="shared" si="28"/>
        <v>828953</v>
      </c>
      <c r="G142" s="163">
        <f t="shared" si="29"/>
        <v>953475.5</v>
      </c>
      <c r="H142" s="167">
        <f t="shared" si="26"/>
        <v>369995.7713643274</v>
      </c>
      <c r="I142" s="317">
        <f t="shared" si="27"/>
        <v>369995.7713643274</v>
      </c>
      <c r="J142" s="162">
        <f t="shared" si="30"/>
        <v>0</v>
      </c>
      <c r="K142" s="162"/>
      <c r="L142" s="335"/>
      <c r="M142" s="162">
        <f t="shared" si="31"/>
        <v>0</v>
      </c>
      <c r="N142" s="335"/>
      <c r="O142" s="162">
        <f t="shared" si="32"/>
        <v>0</v>
      </c>
      <c r="P142" s="162">
        <f t="shared" si="33"/>
        <v>0</v>
      </c>
    </row>
    <row r="143" spans="2:16">
      <c r="B143" s="9" t="str">
        <f t="shared" si="23"/>
        <v/>
      </c>
      <c r="C143" s="157">
        <f>IF(D93="","-",+C142+1)</f>
        <v>2053</v>
      </c>
      <c r="D143" s="158">
        <f>IF(F142+SUM(E$99:E142)=D$92,F142,D$92-SUM(E$99:E142))</f>
        <v>828953</v>
      </c>
      <c r="E143" s="165">
        <f>IF(+J96&lt;F142,J96,D143)</f>
        <v>249045</v>
      </c>
      <c r="F143" s="163">
        <f t="shared" si="28"/>
        <v>579908</v>
      </c>
      <c r="G143" s="163">
        <f t="shared" si="29"/>
        <v>704430.5</v>
      </c>
      <c r="H143" s="167">
        <f t="shared" si="26"/>
        <v>338403.78514713678</v>
      </c>
      <c r="I143" s="317">
        <f t="shared" si="27"/>
        <v>338403.78514713678</v>
      </c>
      <c r="J143" s="162">
        <f t="shared" si="30"/>
        <v>0</v>
      </c>
      <c r="K143" s="162"/>
      <c r="L143" s="335"/>
      <c r="M143" s="162">
        <f t="shared" si="31"/>
        <v>0</v>
      </c>
      <c r="N143" s="335"/>
      <c r="O143" s="162">
        <f t="shared" si="32"/>
        <v>0</v>
      </c>
      <c r="P143" s="162">
        <f t="shared" si="33"/>
        <v>0</v>
      </c>
    </row>
    <row r="144" spans="2:16">
      <c r="B144" s="9" t="str">
        <f t="shared" si="23"/>
        <v/>
      </c>
      <c r="C144" s="157">
        <f>IF(D93="","-",+C143+1)</f>
        <v>2054</v>
      </c>
      <c r="D144" s="158">
        <f>IF(F143+SUM(E$99:E143)=D$92,F143,D$92-SUM(E$99:E143))</f>
        <v>579908</v>
      </c>
      <c r="E144" s="165">
        <f>IF(+J96&lt;F143,J96,D144)</f>
        <v>249045</v>
      </c>
      <c r="F144" s="163">
        <f t="shared" si="28"/>
        <v>330863</v>
      </c>
      <c r="G144" s="163">
        <f t="shared" si="29"/>
        <v>455385.5</v>
      </c>
      <c r="H144" s="167">
        <f t="shared" si="26"/>
        <v>306811.79892994621</v>
      </c>
      <c r="I144" s="317">
        <f t="shared" si="27"/>
        <v>306811.79892994621</v>
      </c>
      <c r="J144" s="162">
        <f t="shared" si="30"/>
        <v>0</v>
      </c>
      <c r="K144" s="162"/>
      <c r="L144" s="335"/>
      <c r="M144" s="162">
        <f t="shared" si="31"/>
        <v>0</v>
      </c>
      <c r="N144" s="335"/>
      <c r="O144" s="162">
        <f t="shared" si="32"/>
        <v>0</v>
      </c>
      <c r="P144" s="162">
        <f t="shared" si="33"/>
        <v>0</v>
      </c>
    </row>
    <row r="145" spans="2:16">
      <c r="B145" s="9" t="str">
        <f t="shared" si="23"/>
        <v/>
      </c>
      <c r="C145" s="157">
        <f>IF(D93="","-",+C144+1)</f>
        <v>2055</v>
      </c>
      <c r="D145" s="158">
        <f>IF(F144+SUM(E$99:E144)=D$92,F144,D$92-SUM(E$99:E144))</f>
        <v>330863</v>
      </c>
      <c r="E145" s="165">
        <f>IF(+J96&lt;F144,J96,D145)</f>
        <v>249045</v>
      </c>
      <c r="F145" s="163">
        <f t="shared" si="28"/>
        <v>81818</v>
      </c>
      <c r="G145" s="163">
        <f t="shared" si="29"/>
        <v>206340.5</v>
      </c>
      <c r="H145" s="167">
        <f t="shared" si="26"/>
        <v>275219.81271275558</v>
      </c>
      <c r="I145" s="317">
        <f t="shared" si="27"/>
        <v>275219.81271275558</v>
      </c>
      <c r="J145" s="162">
        <f t="shared" si="30"/>
        <v>0</v>
      </c>
      <c r="K145" s="162"/>
      <c r="L145" s="335"/>
      <c r="M145" s="162">
        <f t="shared" si="31"/>
        <v>0</v>
      </c>
      <c r="N145" s="335"/>
      <c r="O145" s="162">
        <f t="shared" si="32"/>
        <v>0</v>
      </c>
      <c r="P145" s="162">
        <f t="shared" si="33"/>
        <v>0</v>
      </c>
    </row>
    <row r="146" spans="2:16">
      <c r="B146" s="9" t="str">
        <f t="shared" si="23"/>
        <v/>
      </c>
      <c r="C146" s="157">
        <f>IF(D93="","-",+C145+1)</f>
        <v>2056</v>
      </c>
      <c r="D146" s="158">
        <f>IF(F145+SUM(E$99:E145)=D$92,F145,D$92-SUM(E$99:E145))</f>
        <v>81818</v>
      </c>
      <c r="E146" s="165">
        <f>IF(+J96&lt;F145,J96,D146)</f>
        <v>81818</v>
      </c>
      <c r="F146" s="163">
        <f t="shared" si="28"/>
        <v>0</v>
      </c>
      <c r="G146" s="163">
        <f t="shared" si="29"/>
        <v>40909</v>
      </c>
      <c r="H146" s="167">
        <f t="shared" si="26"/>
        <v>87007.409802080147</v>
      </c>
      <c r="I146" s="317">
        <f t="shared" si="27"/>
        <v>87007.409802080147</v>
      </c>
      <c r="J146" s="162">
        <f t="shared" si="30"/>
        <v>0</v>
      </c>
      <c r="K146" s="162"/>
      <c r="L146" s="335"/>
      <c r="M146" s="162">
        <f t="shared" si="31"/>
        <v>0</v>
      </c>
      <c r="N146" s="335"/>
      <c r="O146" s="162">
        <f t="shared" si="32"/>
        <v>0</v>
      </c>
      <c r="P146" s="162">
        <f t="shared" si="33"/>
        <v>0</v>
      </c>
    </row>
    <row r="147" spans="2:16">
      <c r="B147" s="9" t="str">
        <f t="shared" si="23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26"/>
        <v>0</v>
      </c>
      <c r="I147" s="317">
        <f t="shared" si="27"/>
        <v>0</v>
      </c>
      <c r="J147" s="162">
        <f t="shared" si="30"/>
        <v>0</v>
      </c>
      <c r="K147" s="162"/>
      <c r="L147" s="335"/>
      <c r="M147" s="162">
        <f t="shared" si="31"/>
        <v>0</v>
      </c>
      <c r="N147" s="335"/>
      <c r="O147" s="162">
        <f t="shared" si="32"/>
        <v>0</v>
      </c>
      <c r="P147" s="162">
        <f t="shared" si="33"/>
        <v>0</v>
      </c>
    </row>
    <row r="148" spans="2:16">
      <c r="B148" s="9" t="str">
        <f t="shared" si="23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26"/>
        <v>0</v>
      </c>
      <c r="I148" s="317">
        <f t="shared" si="27"/>
        <v>0</v>
      </c>
      <c r="J148" s="162">
        <f t="shared" si="30"/>
        <v>0</v>
      </c>
      <c r="K148" s="162"/>
      <c r="L148" s="335"/>
      <c r="M148" s="162">
        <f t="shared" si="31"/>
        <v>0</v>
      </c>
      <c r="N148" s="335"/>
      <c r="O148" s="162">
        <f t="shared" si="32"/>
        <v>0</v>
      </c>
      <c r="P148" s="162">
        <f t="shared" si="33"/>
        <v>0</v>
      </c>
    </row>
    <row r="149" spans="2:16">
      <c r="B149" s="9" t="str">
        <f t="shared" si="23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26"/>
        <v>0</v>
      </c>
      <c r="I149" s="317">
        <f t="shared" si="27"/>
        <v>0</v>
      </c>
      <c r="J149" s="162">
        <f t="shared" si="30"/>
        <v>0</v>
      </c>
      <c r="K149" s="162"/>
      <c r="L149" s="335"/>
      <c r="M149" s="162">
        <f t="shared" si="31"/>
        <v>0</v>
      </c>
      <c r="N149" s="335"/>
      <c r="O149" s="162">
        <f t="shared" si="32"/>
        <v>0</v>
      </c>
      <c r="P149" s="162">
        <f t="shared" si="33"/>
        <v>0</v>
      </c>
    </row>
    <row r="150" spans="2:16">
      <c r="B150" s="9" t="str">
        <f t="shared" si="23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26"/>
        <v>0</v>
      </c>
      <c r="I150" s="317">
        <f t="shared" si="27"/>
        <v>0</v>
      </c>
      <c r="J150" s="162">
        <f t="shared" si="30"/>
        <v>0</v>
      </c>
      <c r="K150" s="162"/>
      <c r="L150" s="335"/>
      <c r="M150" s="162">
        <f t="shared" si="31"/>
        <v>0</v>
      </c>
      <c r="N150" s="335"/>
      <c r="O150" s="162">
        <f t="shared" si="32"/>
        <v>0</v>
      </c>
      <c r="P150" s="162">
        <f t="shared" si="33"/>
        <v>0</v>
      </c>
    </row>
    <row r="151" spans="2:16">
      <c r="B151" s="9" t="str">
        <f t="shared" si="23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26"/>
        <v>0</v>
      </c>
      <c r="I151" s="317">
        <f t="shared" si="27"/>
        <v>0</v>
      </c>
      <c r="J151" s="162">
        <f t="shared" si="30"/>
        <v>0</v>
      </c>
      <c r="K151" s="162"/>
      <c r="L151" s="335"/>
      <c r="M151" s="162">
        <f t="shared" si="31"/>
        <v>0</v>
      </c>
      <c r="N151" s="335"/>
      <c r="O151" s="162">
        <f t="shared" si="32"/>
        <v>0</v>
      </c>
      <c r="P151" s="162">
        <f t="shared" si="33"/>
        <v>0</v>
      </c>
    </row>
    <row r="152" spans="2:16">
      <c r="B152" s="9" t="str">
        <f t="shared" si="23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26"/>
        <v>0</v>
      </c>
      <c r="I152" s="317">
        <f t="shared" si="27"/>
        <v>0</v>
      </c>
      <c r="J152" s="162">
        <f t="shared" si="30"/>
        <v>0</v>
      </c>
      <c r="K152" s="162"/>
      <c r="L152" s="335"/>
      <c r="M152" s="162">
        <f t="shared" si="31"/>
        <v>0</v>
      </c>
      <c r="N152" s="335"/>
      <c r="O152" s="162">
        <f t="shared" si="32"/>
        <v>0</v>
      </c>
      <c r="P152" s="162">
        <f t="shared" si="33"/>
        <v>0</v>
      </c>
    </row>
    <row r="153" spans="2:16">
      <c r="B153" s="9" t="str">
        <f t="shared" si="23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26"/>
        <v>0</v>
      </c>
      <c r="I153" s="317">
        <f t="shared" si="27"/>
        <v>0</v>
      </c>
      <c r="J153" s="162">
        <f t="shared" si="30"/>
        <v>0</v>
      </c>
      <c r="K153" s="162"/>
      <c r="L153" s="335"/>
      <c r="M153" s="162">
        <f t="shared" si="31"/>
        <v>0</v>
      </c>
      <c r="N153" s="335"/>
      <c r="O153" s="162">
        <f t="shared" si="32"/>
        <v>0</v>
      </c>
      <c r="P153" s="162">
        <f t="shared" si="33"/>
        <v>0</v>
      </c>
    </row>
    <row r="154" spans="2:16" ht="13.5" thickBot="1">
      <c r="B154" s="9" t="str">
        <f t="shared" si="23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26"/>
        <v>0</v>
      </c>
      <c r="I154" s="318">
        <f t="shared" si="27"/>
        <v>0</v>
      </c>
      <c r="J154" s="173">
        <f t="shared" si="30"/>
        <v>0</v>
      </c>
      <c r="K154" s="162"/>
      <c r="L154" s="336"/>
      <c r="M154" s="173">
        <f t="shared" si="31"/>
        <v>0</v>
      </c>
      <c r="N154" s="336"/>
      <c r="O154" s="173">
        <f t="shared" si="32"/>
        <v>0</v>
      </c>
      <c r="P154" s="173">
        <f t="shared" si="33"/>
        <v>0</v>
      </c>
    </row>
    <row r="155" spans="2:16">
      <c r="C155" s="158" t="s">
        <v>72</v>
      </c>
      <c r="D155" s="115"/>
      <c r="E155" s="115">
        <f>SUM(E99:E154)</f>
        <v>11456065</v>
      </c>
      <c r="F155" s="115"/>
      <c r="G155" s="115"/>
      <c r="H155" s="115">
        <f>SUM(H99:H154)</f>
        <v>47566552.10145241</v>
      </c>
      <c r="I155" s="115">
        <f>SUM(I99:I154)</f>
        <v>47566552.10145241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view="pageBreakPreview" zoomScale="75" zoomScaleNormal="100" zoomScaleSheetLayoutView="5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4 of 27</v>
      </c>
    </row>
    <row r="2" spans="1:16" ht="20.25">
      <c r="A2" s="112"/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 t="s">
        <v>241</v>
      </c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VLOOKUP(I10,C17:I72,5)-O5</f>
        <v>1638222.8007125233</v>
      </c>
      <c r="O5" s="419">
        <f>1307.4*12</f>
        <v>15688.800000000001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VLOOKUP(I10,C17:I72,6)-O5</f>
        <v>1638222.8007125233</v>
      </c>
      <c r="O6" s="1"/>
      <c r="P6" s="1"/>
    </row>
    <row r="7" spans="1:16" ht="13.5" thickBot="1">
      <c r="C7" s="127" t="s">
        <v>41</v>
      </c>
      <c r="D7" s="343" t="s">
        <v>199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77</v>
      </c>
      <c r="E9" s="428" t="s">
        <v>304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14615636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2008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7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365390.9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359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2008</v>
      </c>
      <c r="D17" s="369">
        <v>2264444</v>
      </c>
      <c r="E17" s="367">
        <v>21774</v>
      </c>
      <c r="F17" s="366">
        <v>2242670</v>
      </c>
      <c r="G17" s="367">
        <v>215833</v>
      </c>
      <c r="H17" s="367">
        <v>215833</v>
      </c>
      <c r="I17" s="160">
        <f t="shared" ref="I17:I48" si="0">H17-G17</f>
        <v>0</v>
      </c>
      <c r="J17" s="175"/>
      <c r="K17" s="338">
        <v>215833</v>
      </c>
      <c r="L17" s="358">
        <f t="shared" ref="L17:L48" si="1">IF(K17&lt;&gt;0,+G17-K17,0)</f>
        <v>0</v>
      </c>
      <c r="M17" s="337">
        <v>215833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2009</v>
      </c>
      <c r="D18" s="366">
        <v>14429811</v>
      </c>
      <c r="E18" s="368">
        <v>274418</v>
      </c>
      <c r="F18" s="366">
        <v>14155393</v>
      </c>
      <c r="G18" s="368">
        <v>2443110</v>
      </c>
      <c r="H18" s="368">
        <v>2443110</v>
      </c>
      <c r="I18" s="160">
        <f t="shared" si="0"/>
        <v>0</v>
      </c>
      <c r="J18" s="160"/>
      <c r="K18" s="338">
        <v>2443110</v>
      </c>
      <c r="L18" s="162">
        <f t="shared" si="1"/>
        <v>0</v>
      </c>
      <c r="M18" s="338">
        <v>2443110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71">
        <v>14390719</v>
      </c>
      <c r="E19" s="368">
        <v>262266.26785714284</v>
      </c>
      <c r="F19" s="371">
        <v>14128452.732142856</v>
      </c>
      <c r="G19" s="368">
        <v>2300952.2678571427</v>
      </c>
      <c r="H19" s="370">
        <v>2300952.2678571427</v>
      </c>
      <c r="I19" s="160">
        <f t="shared" si="0"/>
        <v>0</v>
      </c>
      <c r="J19" s="160"/>
      <c r="K19" s="338">
        <f t="shared" ref="K19:K24" si="4">G19</f>
        <v>2300952.2678571427</v>
      </c>
      <c r="L19" s="272">
        <f t="shared" si="1"/>
        <v>0</v>
      </c>
      <c r="M19" s="338">
        <f t="shared" ref="M19:M24" si="5">H19</f>
        <v>2300952.2678571427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>IU</v>
      </c>
      <c r="C20" s="157">
        <f>IF(D11="","-",+C19+1)</f>
        <v>2011</v>
      </c>
      <c r="D20" s="371">
        <v>14057177.732142856</v>
      </c>
      <c r="E20" s="368">
        <v>286581.09803921566</v>
      </c>
      <c r="F20" s="371">
        <v>13770596.634103641</v>
      </c>
      <c r="G20" s="368">
        <v>2442276.0980392154</v>
      </c>
      <c r="H20" s="370">
        <v>2442276.0980392154</v>
      </c>
      <c r="I20" s="160">
        <f t="shared" si="0"/>
        <v>0</v>
      </c>
      <c r="J20" s="160"/>
      <c r="K20" s="338">
        <f t="shared" si="4"/>
        <v>2442276.0980392154</v>
      </c>
      <c r="L20" s="272">
        <f t="shared" si="1"/>
        <v>0</v>
      </c>
      <c r="M20" s="338">
        <f t="shared" si="5"/>
        <v>2442276.0980392154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2012</v>
      </c>
      <c r="D21" s="371">
        <v>13770596.634103641</v>
      </c>
      <c r="E21" s="368">
        <v>281069.92307692306</v>
      </c>
      <c r="F21" s="371">
        <v>13489526.711026717</v>
      </c>
      <c r="G21" s="368">
        <v>2158902.923076923</v>
      </c>
      <c r="H21" s="370">
        <v>2158902.923076923</v>
      </c>
      <c r="I21" s="160">
        <f t="shared" si="0"/>
        <v>0</v>
      </c>
      <c r="J21" s="160"/>
      <c r="K21" s="338">
        <f t="shared" si="4"/>
        <v>2158902.923076923</v>
      </c>
      <c r="L21" s="272">
        <f t="shared" si="1"/>
        <v>0</v>
      </c>
      <c r="M21" s="338">
        <f t="shared" si="5"/>
        <v>2158902.923076923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71">
        <v>13489526.711026717</v>
      </c>
      <c r="E22" s="368">
        <v>281069.92307692306</v>
      </c>
      <c r="F22" s="371">
        <v>13208456.787949793</v>
      </c>
      <c r="G22" s="368">
        <v>2167326.923076923</v>
      </c>
      <c r="H22" s="370">
        <v>2167326.923076923</v>
      </c>
      <c r="I22" s="160">
        <v>0</v>
      </c>
      <c r="J22" s="160"/>
      <c r="K22" s="338">
        <f t="shared" si="4"/>
        <v>2167326.923076923</v>
      </c>
      <c r="L22" s="272">
        <f t="shared" ref="L22:L27" si="7">IF(K22&lt;&gt;0,+G22-K22,0)</f>
        <v>0</v>
      </c>
      <c r="M22" s="338">
        <f t="shared" si="5"/>
        <v>2167326.923076923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71">
        <v>13208456.787949793</v>
      </c>
      <c r="E23" s="368">
        <v>281069.92307692306</v>
      </c>
      <c r="F23" s="371">
        <v>12927386.864872869</v>
      </c>
      <c r="G23" s="368">
        <v>2060637.923076923</v>
      </c>
      <c r="H23" s="370">
        <v>2060637.923076923</v>
      </c>
      <c r="I23" s="160">
        <v>0</v>
      </c>
      <c r="J23" s="160"/>
      <c r="K23" s="338">
        <f t="shared" si="4"/>
        <v>2060637.923076923</v>
      </c>
      <c r="L23" s="272">
        <f t="shared" si="7"/>
        <v>0</v>
      </c>
      <c r="M23" s="338">
        <f t="shared" si="5"/>
        <v>2060637.923076923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71">
        <v>12927386.864872869</v>
      </c>
      <c r="E24" s="368">
        <v>281069.92307692306</v>
      </c>
      <c r="F24" s="371">
        <v>12646316.941795945</v>
      </c>
      <c r="G24" s="368">
        <v>2024638.923076923</v>
      </c>
      <c r="H24" s="370">
        <v>2024638.923076923</v>
      </c>
      <c r="I24" s="160">
        <v>0</v>
      </c>
      <c r="J24" s="160"/>
      <c r="K24" s="338">
        <f t="shared" si="4"/>
        <v>2024638.923076923</v>
      </c>
      <c r="L24" s="272">
        <f t="shared" si="7"/>
        <v>0</v>
      </c>
      <c r="M24" s="338">
        <f t="shared" si="5"/>
        <v>2024638.923076923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71">
        <v>12646316.941795945</v>
      </c>
      <c r="E25" s="368">
        <v>281069.92307692306</v>
      </c>
      <c r="F25" s="371">
        <v>12365247.018719021</v>
      </c>
      <c r="G25" s="368">
        <v>1902890.923076923</v>
      </c>
      <c r="H25" s="370">
        <v>1902890.923076923</v>
      </c>
      <c r="I25" s="160">
        <f t="shared" si="0"/>
        <v>0</v>
      </c>
      <c r="J25" s="160"/>
      <c r="K25" s="338">
        <f>G25</f>
        <v>1902890.923076923</v>
      </c>
      <c r="L25" s="272">
        <f t="shared" si="7"/>
        <v>0</v>
      </c>
      <c r="M25" s="338">
        <f>H25</f>
        <v>1902890.923076923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71">
        <v>12365247.018719021</v>
      </c>
      <c r="E26" s="368">
        <v>317731.21739130432</v>
      </c>
      <c r="F26" s="371">
        <v>12047515.801327717</v>
      </c>
      <c r="G26" s="368">
        <v>1850906.2173913042</v>
      </c>
      <c r="H26" s="370">
        <v>1850906.2173913042</v>
      </c>
      <c r="I26" s="160">
        <v>0</v>
      </c>
      <c r="J26" s="160"/>
      <c r="K26" s="338">
        <f>G26</f>
        <v>1850906.2173913042</v>
      </c>
      <c r="L26" s="272">
        <f t="shared" si="7"/>
        <v>0</v>
      </c>
      <c r="M26" s="338">
        <f>H26</f>
        <v>1850906.2173913042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71">
        <v>12047515.801327717</v>
      </c>
      <c r="E27" s="368">
        <v>324791.91111111111</v>
      </c>
      <c r="F27" s="371">
        <v>11722723.890216606</v>
      </c>
      <c r="G27" s="368">
        <v>1748141.2740256879</v>
      </c>
      <c r="H27" s="370">
        <v>1748141.2740256879</v>
      </c>
      <c r="I27" s="160">
        <f t="shared" si="0"/>
        <v>0</v>
      </c>
      <c r="J27" s="160"/>
      <c r="K27" s="338">
        <f>G27</f>
        <v>1748141.2740256879</v>
      </c>
      <c r="L27" s="272">
        <f t="shared" si="7"/>
        <v>0</v>
      </c>
      <c r="M27" s="338">
        <f>H27</f>
        <v>1748141.2740256879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163">
        <f>IF(F27+SUM(E$17:E27)=D$10,F27,D$10-SUM(E$17:E27))</f>
        <v>11722723.890216606</v>
      </c>
      <c r="E28" s="164">
        <f>IF(+I14&lt;F27,I14,D28)</f>
        <v>365390.9</v>
      </c>
      <c r="F28" s="163">
        <f t="shared" ref="F28:F72" si="10">+D28-E28</f>
        <v>11357332.990216605</v>
      </c>
      <c r="G28" s="165">
        <f t="shared" ref="G28:G72" si="11">(D28+F28)/2*I$12+E28</f>
        <v>1653911.6007125233</v>
      </c>
      <c r="H28" s="147">
        <f t="shared" ref="H28:H72" si="12">+(D28+F28)/2*I$13+E28</f>
        <v>1653911.6007125233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11357332.990216605</v>
      </c>
      <c r="E29" s="164">
        <f>IF(+I14&lt;F28,I14,D29)</f>
        <v>365390.9</v>
      </c>
      <c r="F29" s="163">
        <f t="shared" si="10"/>
        <v>10991942.090216605</v>
      </c>
      <c r="G29" s="165">
        <f t="shared" si="11"/>
        <v>1613113.2837117431</v>
      </c>
      <c r="H29" s="147">
        <f t="shared" si="12"/>
        <v>1613113.2837117431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10991942.090216605</v>
      </c>
      <c r="E30" s="164">
        <f>IF(+I14&lt;F29,I14,D30)</f>
        <v>365390.9</v>
      </c>
      <c r="F30" s="163">
        <f t="shared" si="10"/>
        <v>10626551.190216605</v>
      </c>
      <c r="G30" s="165">
        <f t="shared" si="11"/>
        <v>1572314.9667109624</v>
      </c>
      <c r="H30" s="147">
        <f t="shared" si="12"/>
        <v>1572314.9667109624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10626551.190216605</v>
      </c>
      <c r="E31" s="164">
        <f>IF(+I14&lt;F30,I14,D31)</f>
        <v>365390.9</v>
      </c>
      <c r="F31" s="163">
        <f t="shared" si="10"/>
        <v>10261160.290216604</v>
      </c>
      <c r="G31" s="165">
        <f t="shared" si="11"/>
        <v>1531516.6497101821</v>
      </c>
      <c r="H31" s="147">
        <f t="shared" si="12"/>
        <v>1531516.6497101821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10261160.290216604</v>
      </c>
      <c r="E32" s="164">
        <f>IF(+I14&lt;F31,I14,D32)</f>
        <v>365390.9</v>
      </c>
      <c r="F32" s="163">
        <f t="shared" si="10"/>
        <v>9895769.3902166039</v>
      </c>
      <c r="G32" s="165">
        <f t="shared" si="11"/>
        <v>1490718.3327094014</v>
      </c>
      <c r="H32" s="147">
        <f t="shared" si="12"/>
        <v>1490718.3327094014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9895769.3902166039</v>
      </c>
      <c r="E33" s="164">
        <f>IF(+I14&lt;F32,I14,D33)</f>
        <v>365390.9</v>
      </c>
      <c r="F33" s="163">
        <f t="shared" si="10"/>
        <v>9530378.4902166035</v>
      </c>
      <c r="G33" s="165">
        <f t="shared" si="11"/>
        <v>1449920.0157086207</v>
      </c>
      <c r="H33" s="147">
        <f t="shared" si="12"/>
        <v>1449920.0157086207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9530378.4902166035</v>
      </c>
      <c r="E34" s="164">
        <f>IF(+I14&lt;F33,I14,D34)</f>
        <v>365390.9</v>
      </c>
      <c r="F34" s="163">
        <f t="shared" si="10"/>
        <v>9164987.5902166031</v>
      </c>
      <c r="G34" s="165">
        <f t="shared" si="11"/>
        <v>1409121.6987078399</v>
      </c>
      <c r="H34" s="147">
        <f t="shared" si="12"/>
        <v>1409121.6987078399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9164987.5902166031</v>
      </c>
      <c r="E35" s="164">
        <f>IF(+I14&lt;F34,I14,D35)</f>
        <v>365390.9</v>
      </c>
      <c r="F35" s="163">
        <f t="shared" si="10"/>
        <v>8799596.6902166028</v>
      </c>
      <c r="G35" s="165">
        <f t="shared" si="11"/>
        <v>1368323.3817070597</v>
      </c>
      <c r="H35" s="147">
        <f t="shared" si="12"/>
        <v>1368323.3817070597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8799596.6902166028</v>
      </c>
      <c r="E36" s="164">
        <f>IF(+I14&lt;F35,I14,D36)</f>
        <v>365390.9</v>
      </c>
      <c r="F36" s="163">
        <f t="shared" si="10"/>
        <v>8434205.7902166024</v>
      </c>
      <c r="G36" s="165">
        <f t="shared" si="11"/>
        <v>1327525.064706279</v>
      </c>
      <c r="H36" s="147">
        <f t="shared" si="12"/>
        <v>1327525.064706279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8434205.7902166024</v>
      </c>
      <c r="E37" s="164">
        <f>IF(+I14&lt;F36,I14,D37)</f>
        <v>365390.9</v>
      </c>
      <c r="F37" s="163">
        <f t="shared" si="10"/>
        <v>8068814.890216602</v>
      </c>
      <c r="G37" s="165">
        <f t="shared" si="11"/>
        <v>1286726.7477054987</v>
      </c>
      <c r="H37" s="147">
        <f t="shared" si="12"/>
        <v>1286726.7477054987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8068814.890216602</v>
      </c>
      <c r="E38" s="164">
        <f>IF(+I14&lt;F37,I14,D38)</f>
        <v>365390.9</v>
      </c>
      <c r="F38" s="163">
        <f t="shared" si="10"/>
        <v>7703423.9902166016</v>
      </c>
      <c r="G38" s="165">
        <f t="shared" si="11"/>
        <v>1245928.430704718</v>
      </c>
      <c r="H38" s="147">
        <f t="shared" si="12"/>
        <v>1245928.430704718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7703423.9902166016</v>
      </c>
      <c r="E39" s="164">
        <f>IF(+I14&lt;F38,I14,D39)</f>
        <v>365390.9</v>
      </c>
      <c r="F39" s="163">
        <f t="shared" si="10"/>
        <v>7338033.0902166013</v>
      </c>
      <c r="G39" s="165">
        <f t="shared" si="11"/>
        <v>1205130.1137039375</v>
      </c>
      <c r="H39" s="147">
        <f t="shared" si="12"/>
        <v>1205130.1137039375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7338033.0902166013</v>
      </c>
      <c r="E40" s="164">
        <f>IF(+I14&lt;F39,I14,D40)</f>
        <v>365390.9</v>
      </c>
      <c r="F40" s="163">
        <f t="shared" si="10"/>
        <v>6972642.1902166009</v>
      </c>
      <c r="G40" s="165">
        <f t="shared" si="11"/>
        <v>1164331.796703157</v>
      </c>
      <c r="H40" s="147">
        <f t="shared" si="12"/>
        <v>1164331.796703157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6972642.1902166009</v>
      </c>
      <c r="E41" s="164">
        <f>IF(+I14&lt;F40,I14,D41)</f>
        <v>365390.9</v>
      </c>
      <c r="F41" s="163">
        <f t="shared" si="10"/>
        <v>6607251.2902166005</v>
      </c>
      <c r="G41" s="165">
        <f t="shared" si="11"/>
        <v>1123533.4797023763</v>
      </c>
      <c r="H41" s="147">
        <f t="shared" si="12"/>
        <v>1123533.4797023763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6607251.2902166005</v>
      </c>
      <c r="E42" s="164">
        <f>IF(+I14&lt;F41,I14,D42)</f>
        <v>365390.9</v>
      </c>
      <c r="F42" s="163">
        <f t="shared" si="10"/>
        <v>6241860.3902166001</v>
      </c>
      <c r="G42" s="165">
        <f t="shared" si="11"/>
        <v>1082735.162701596</v>
      </c>
      <c r="H42" s="147">
        <f t="shared" si="12"/>
        <v>1082735.162701596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6241860.3902166001</v>
      </c>
      <c r="E43" s="164">
        <f>IF(+I14&lt;F42,I14,D43)</f>
        <v>365390.9</v>
      </c>
      <c r="F43" s="163">
        <f t="shared" si="10"/>
        <v>5876469.4902165998</v>
      </c>
      <c r="G43" s="165">
        <f t="shared" si="11"/>
        <v>1041936.8457008153</v>
      </c>
      <c r="H43" s="147">
        <f t="shared" si="12"/>
        <v>1041936.8457008153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5876469.4902165998</v>
      </c>
      <c r="E44" s="164">
        <f>IF(+I14&lt;F43,I14,D44)</f>
        <v>365390.9</v>
      </c>
      <c r="F44" s="163">
        <f t="shared" si="10"/>
        <v>5511078.5902165994</v>
      </c>
      <c r="G44" s="165">
        <f t="shared" si="11"/>
        <v>1001138.5287000348</v>
      </c>
      <c r="H44" s="147">
        <f t="shared" si="12"/>
        <v>1001138.5287000348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5511078.5902165994</v>
      </c>
      <c r="E45" s="164">
        <f>IF(+I14&lt;F44,I14,D45)</f>
        <v>365390.9</v>
      </c>
      <c r="F45" s="163">
        <f t="shared" si="10"/>
        <v>5145687.690216599</v>
      </c>
      <c r="G45" s="165">
        <f t="shared" si="11"/>
        <v>960340.21169925435</v>
      </c>
      <c r="H45" s="147">
        <f t="shared" si="12"/>
        <v>960340.21169925435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5145687.690216599</v>
      </c>
      <c r="E46" s="164">
        <f>IF(+I14&lt;F45,I14,D46)</f>
        <v>365390.9</v>
      </c>
      <c r="F46" s="163">
        <f t="shared" si="10"/>
        <v>4780296.7902165987</v>
      </c>
      <c r="G46" s="165">
        <f t="shared" si="11"/>
        <v>919541.89469847374</v>
      </c>
      <c r="H46" s="147">
        <f t="shared" si="12"/>
        <v>919541.89469847374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4780296.7902165987</v>
      </c>
      <c r="E47" s="164">
        <f>IF(+I14&lt;F46,I14,D47)</f>
        <v>365390.9</v>
      </c>
      <c r="F47" s="163">
        <f t="shared" si="10"/>
        <v>4414905.8902165983</v>
      </c>
      <c r="G47" s="165">
        <f t="shared" si="11"/>
        <v>878743.57769769314</v>
      </c>
      <c r="H47" s="147">
        <f t="shared" si="12"/>
        <v>878743.57769769314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4414905.8902165983</v>
      </c>
      <c r="E48" s="164">
        <f>IF(+I14&lt;F47,I14,D48)</f>
        <v>365390.9</v>
      </c>
      <c r="F48" s="163">
        <f t="shared" si="10"/>
        <v>4049514.9902165984</v>
      </c>
      <c r="G48" s="165">
        <f t="shared" si="11"/>
        <v>837945.26069691265</v>
      </c>
      <c r="H48" s="147">
        <f t="shared" si="12"/>
        <v>837945.26069691265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4049514.9902165984</v>
      </c>
      <c r="E49" s="164">
        <f>IF(+I14&lt;F48,I14,D49)</f>
        <v>365390.9</v>
      </c>
      <c r="F49" s="163">
        <f t="shared" si="10"/>
        <v>3684124.0902165985</v>
      </c>
      <c r="G49" s="165">
        <f t="shared" si="11"/>
        <v>797146.94369613216</v>
      </c>
      <c r="H49" s="147">
        <f t="shared" si="12"/>
        <v>797146.94369613216</v>
      </c>
      <c r="I49" s="160">
        <f t="shared" ref="I49:I72" si="13">H49-G49</f>
        <v>0</v>
      </c>
      <c r="J49" s="160"/>
      <c r="K49" s="335"/>
      <c r="L49" s="162">
        <f t="shared" ref="L49:L72" si="14">IF(K49&lt;&gt;0,+G49-K49,0)</f>
        <v>0</v>
      </c>
      <c r="M49" s="335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3684124.0902165985</v>
      </c>
      <c r="E50" s="164">
        <f>IF(+I14&lt;F49,I14,D50)</f>
        <v>365390.9</v>
      </c>
      <c r="F50" s="163">
        <f t="shared" si="10"/>
        <v>3318733.1902165986</v>
      </c>
      <c r="G50" s="165">
        <f t="shared" si="11"/>
        <v>756348.62669535168</v>
      </c>
      <c r="H50" s="147">
        <f t="shared" si="12"/>
        <v>756348.62669535168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3318733.1902165986</v>
      </c>
      <c r="E51" s="164">
        <f>IF(+I14&lt;F50,I14,D51)</f>
        <v>365390.9</v>
      </c>
      <c r="F51" s="163">
        <f t="shared" si="10"/>
        <v>2953342.2902165987</v>
      </c>
      <c r="G51" s="165">
        <f t="shared" si="11"/>
        <v>715550.30969457119</v>
      </c>
      <c r="H51" s="147">
        <f t="shared" si="12"/>
        <v>715550.30969457119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2953342.2902165987</v>
      </c>
      <c r="E52" s="164">
        <f>IF(+I14&lt;F51,I14,D52)</f>
        <v>365390.9</v>
      </c>
      <c r="F52" s="163">
        <f t="shared" si="10"/>
        <v>2587951.3902165988</v>
      </c>
      <c r="G52" s="165">
        <f t="shared" si="11"/>
        <v>674751.9926937907</v>
      </c>
      <c r="H52" s="147">
        <f t="shared" si="12"/>
        <v>674751.9926937907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2587951.3902165988</v>
      </c>
      <c r="E53" s="164">
        <f>IF(+I14&lt;F52,I14,D53)</f>
        <v>365390.9</v>
      </c>
      <c r="F53" s="163">
        <f t="shared" si="10"/>
        <v>2222560.4902165988</v>
      </c>
      <c r="G53" s="165">
        <f t="shared" si="11"/>
        <v>633953.67569301033</v>
      </c>
      <c r="H53" s="147">
        <f t="shared" si="12"/>
        <v>633953.67569301033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2222560.4902165988</v>
      </c>
      <c r="E54" s="164">
        <f>IF(+I14&lt;F53,I14,D54)</f>
        <v>365390.9</v>
      </c>
      <c r="F54" s="163">
        <f t="shared" si="10"/>
        <v>1857169.5902165989</v>
      </c>
      <c r="G54" s="165">
        <f t="shared" si="11"/>
        <v>593155.35869222973</v>
      </c>
      <c r="H54" s="147">
        <f t="shared" si="12"/>
        <v>593155.35869222973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1857169.5902165989</v>
      </c>
      <c r="E55" s="164">
        <f>IF(+I14&lt;F54,I14,D55)</f>
        <v>365390.9</v>
      </c>
      <c r="F55" s="163">
        <f t="shared" si="10"/>
        <v>1491778.690216599</v>
      </c>
      <c r="G55" s="165">
        <f t="shared" si="11"/>
        <v>552357.04169144924</v>
      </c>
      <c r="H55" s="147">
        <f t="shared" si="12"/>
        <v>552357.04169144924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1491778.690216599</v>
      </c>
      <c r="E56" s="164">
        <f>IF(+I14&lt;F55,I14,D56)</f>
        <v>365390.9</v>
      </c>
      <c r="F56" s="163">
        <f t="shared" si="10"/>
        <v>1126387.7902165991</v>
      </c>
      <c r="G56" s="165">
        <f t="shared" si="11"/>
        <v>511558.72469066881</v>
      </c>
      <c r="H56" s="147">
        <f t="shared" si="12"/>
        <v>511558.72469066881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1126387.7902165991</v>
      </c>
      <c r="E57" s="164">
        <f>IF(+I14&lt;F56,I14,D57)</f>
        <v>365390.9</v>
      </c>
      <c r="F57" s="163">
        <f t="shared" si="10"/>
        <v>760996.8902165991</v>
      </c>
      <c r="G57" s="165">
        <f t="shared" si="11"/>
        <v>470760.40768988832</v>
      </c>
      <c r="H57" s="147">
        <f t="shared" si="12"/>
        <v>470760.40768988832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760996.8902165991</v>
      </c>
      <c r="E58" s="164">
        <f>IF(+I14&lt;F57,I14,D58)</f>
        <v>365390.9</v>
      </c>
      <c r="F58" s="163">
        <f t="shared" si="10"/>
        <v>395605.99021659908</v>
      </c>
      <c r="G58" s="165">
        <f t="shared" si="11"/>
        <v>429962.09068910783</v>
      </c>
      <c r="H58" s="147">
        <f t="shared" si="12"/>
        <v>429962.09068910783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395605.99021659908</v>
      </c>
      <c r="E59" s="164">
        <f>IF(+I14&lt;F58,I14,D59)</f>
        <v>365390.9</v>
      </c>
      <c r="F59" s="163">
        <f t="shared" si="10"/>
        <v>30215.090216599056</v>
      </c>
      <c r="G59" s="165">
        <f t="shared" si="11"/>
        <v>389163.77368832735</v>
      </c>
      <c r="H59" s="147">
        <f t="shared" si="12"/>
        <v>389163.77368832735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30215.090216599056</v>
      </c>
      <c r="E60" s="164">
        <f>IF(+I14&lt;F59,I14,D60)</f>
        <v>30215.090216599056</v>
      </c>
      <c r="F60" s="163">
        <f t="shared" si="10"/>
        <v>0</v>
      </c>
      <c r="G60" s="165">
        <f t="shared" si="11"/>
        <v>31901.947810567584</v>
      </c>
      <c r="H60" s="147">
        <f t="shared" si="12"/>
        <v>31901.947810567584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0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0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0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14615635.999999998</v>
      </c>
      <c r="F73" s="115"/>
      <c r="G73" s="115">
        <f>SUM(G17:G72)</f>
        <v>54036724.410922147</v>
      </c>
      <c r="H73" s="115">
        <f>SUM(H17:H72)</f>
        <v>54036724.410922147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4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 t="str">
        <f>O4</f>
        <v>WFEC DA Adjustment</v>
      </c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IF(J92&lt;D11,0,VLOOKUP(J92,C17:O72,9))-P87</f>
        <v>1835217.4173913042</v>
      </c>
      <c r="N87" s="202">
        <f>IF(J92&lt;D11,0,VLOOKUP(J92,C17:O72,11))-P87</f>
        <v>1835217.4173913042</v>
      </c>
      <c r="O87" s="203">
        <f>+N87-M87</f>
        <v>0</v>
      </c>
      <c r="P87" s="109">
        <f>O5</f>
        <v>15688.800000000001</v>
      </c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IF(J92&lt;D11,0,VLOOKUP(J92,C99:P154,6))-P87</f>
        <v>1833223.2</v>
      </c>
      <c r="N88" s="204">
        <f>IF(J92&lt;D11,0,VLOOKUP(J92,C99:P154,7))-P87</f>
        <v>1833223.2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Cache-Snyder to Altus Jct. 138 kV line (w/2 ring bus stations)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-1994.2173913042061</v>
      </c>
      <c r="N89" s="207">
        <f>+N88-N87</f>
        <v>-1994.2173913042061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TP2004147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14615636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7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317731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271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2008</v>
      </c>
      <c r="D99" s="366">
        <v>0</v>
      </c>
      <c r="E99" s="368">
        <v>114341</v>
      </c>
      <c r="F99" s="371">
        <v>14429811</v>
      </c>
      <c r="G99" s="373">
        <f t="shared" ref="G99:G130" si="17">+(F99+D99)/2</f>
        <v>7214905.5</v>
      </c>
      <c r="H99" s="374">
        <v>1260396</v>
      </c>
      <c r="I99" s="375">
        <v>1260396</v>
      </c>
      <c r="J99" s="162">
        <f t="shared" ref="J99:J131" si="18">+I99-H99</f>
        <v>0</v>
      </c>
      <c r="K99" s="162"/>
      <c r="L99" s="337">
        <v>1260396</v>
      </c>
      <c r="M99" s="161">
        <f t="shared" ref="M99:M130" si="19">IF(L99&lt;&gt;0,+H99-L99,0)</f>
        <v>0</v>
      </c>
      <c r="N99" s="337">
        <f>+L99</f>
        <v>1260396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6">
        <v>14569170</v>
      </c>
      <c r="E100" s="368">
        <v>262206</v>
      </c>
      <c r="F100" s="371">
        <v>14306964</v>
      </c>
      <c r="G100" s="371">
        <v>14438067</v>
      </c>
      <c r="H100" s="368">
        <v>2373171</v>
      </c>
      <c r="I100" s="370">
        <v>2373171</v>
      </c>
      <c r="J100" s="162">
        <f t="shared" si="18"/>
        <v>0</v>
      </c>
      <c r="K100" s="162"/>
      <c r="L100" s="338">
        <f t="shared" ref="L100:L105" si="22">H100</f>
        <v>2373171</v>
      </c>
      <c r="M100" s="162">
        <f t="shared" si="19"/>
        <v>0</v>
      </c>
      <c r="N100" s="338">
        <f t="shared" ref="N100:N105" si="23">I100</f>
        <v>2373171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4">IF(D101=F100,"","IU")</f>
        <v>IU</v>
      </c>
      <c r="C101" s="157">
        <f>IF(D93="","-",+C100+1)</f>
        <v>2010</v>
      </c>
      <c r="D101" s="366">
        <v>14239089</v>
      </c>
      <c r="E101" s="368">
        <v>286581</v>
      </c>
      <c r="F101" s="371">
        <v>13952508</v>
      </c>
      <c r="G101" s="371">
        <v>14095798.5</v>
      </c>
      <c r="H101" s="368">
        <v>2553400</v>
      </c>
      <c r="I101" s="370">
        <v>2553400</v>
      </c>
      <c r="J101" s="162">
        <f t="shared" si="18"/>
        <v>0</v>
      </c>
      <c r="K101" s="162"/>
      <c r="L101" s="380">
        <f t="shared" si="22"/>
        <v>2553400</v>
      </c>
      <c r="M101" s="381">
        <f t="shared" si="19"/>
        <v>0</v>
      </c>
      <c r="N101" s="380">
        <f t="shared" si="23"/>
        <v>2553400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4"/>
        <v/>
      </c>
      <c r="C102" s="157">
        <f>IF(D93="","-",+C101+1)</f>
        <v>2011</v>
      </c>
      <c r="D102" s="366">
        <v>13952508</v>
      </c>
      <c r="E102" s="368">
        <v>281070</v>
      </c>
      <c r="F102" s="371">
        <v>13671438</v>
      </c>
      <c r="G102" s="371">
        <v>13811973</v>
      </c>
      <c r="H102" s="368">
        <v>2212169</v>
      </c>
      <c r="I102" s="370">
        <v>2212169</v>
      </c>
      <c r="J102" s="162">
        <f t="shared" si="18"/>
        <v>0</v>
      </c>
      <c r="K102" s="162"/>
      <c r="L102" s="380">
        <f t="shared" si="22"/>
        <v>2212169</v>
      </c>
      <c r="M102" s="381">
        <f t="shared" si="19"/>
        <v>0</v>
      </c>
      <c r="N102" s="380">
        <f t="shared" si="23"/>
        <v>2212169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4"/>
        <v/>
      </c>
      <c r="C103" s="157">
        <f>IF(D93="","-",+C102+1)</f>
        <v>2012</v>
      </c>
      <c r="D103" s="366">
        <v>13671438</v>
      </c>
      <c r="E103" s="368">
        <v>281070</v>
      </c>
      <c r="F103" s="371">
        <v>13390368</v>
      </c>
      <c r="G103" s="371">
        <v>13530903</v>
      </c>
      <c r="H103" s="368">
        <v>2227565</v>
      </c>
      <c r="I103" s="370">
        <v>2227565</v>
      </c>
      <c r="J103" s="162">
        <v>0</v>
      </c>
      <c r="K103" s="162"/>
      <c r="L103" s="380">
        <f t="shared" si="22"/>
        <v>2227565</v>
      </c>
      <c r="M103" s="381">
        <f>IF(L103&lt;&gt;0,+H103-L103,0)</f>
        <v>0</v>
      </c>
      <c r="N103" s="380">
        <f t="shared" si="23"/>
        <v>2227565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2013</v>
      </c>
      <c r="D104" s="366">
        <v>13390368</v>
      </c>
      <c r="E104" s="368">
        <v>281070</v>
      </c>
      <c r="F104" s="371">
        <v>13109298</v>
      </c>
      <c r="G104" s="371">
        <v>13249833</v>
      </c>
      <c r="H104" s="368">
        <v>2188246</v>
      </c>
      <c r="I104" s="370">
        <v>2188246</v>
      </c>
      <c r="J104" s="162">
        <v>0</v>
      </c>
      <c r="K104" s="162"/>
      <c r="L104" s="380">
        <f t="shared" si="22"/>
        <v>2188246</v>
      </c>
      <c r="M104" s="381">
        <f>IF(L104&lt;&gt;0,+H104-L104,0)</f>
        <v>0</v>
      </c>
      <c r="N104" s="380">
        <f t="shared" si="23"/>
        <v>2188246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2014</v>
      </c>
      <c r="D105" s="366">
        <v>13109298</v>
      </c>
      <c r="E105" s="368">
        <v>281070</v>
      </c>
      <c r="F105" s="371">
        <v>12828228</v>
      </c>
      <c r="G105" s="371">
        <v>12968763</v>
      </c>
      <c r="H105" s="368">
        <v>2104425</v>
      </c>
      <c r="I105" s="370">
        <v>2104425</v>
      </c>
      <c r="J105" s="162">
        <v>0</v>
      </c>
      <c r="K105" s="162"/>
      <c r="L105" s="380">
        <f t="shared" si="22"/>
        <v>2104425</v>
      </c>
      <c r="M105" s="381">
        <f>IF(L105&lt;&gt;0,+H105-L105,0)</f>
        <v>0</v>
      </c>
      <c r="N105" s="380">
        <f t="shared" si="23"/>
        <v>2104425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2015</v>
      </c>
      <c r="D106" s="366">
        <v>12828228</v>
      </c>
      <c r="E106" s="368">
        <v>281070</v>
      </c>
      <c r="F106" s="371">
        <v>12547158</v>
      </c>
      <c r="G106" s="371">
        <v>12687693</v>
      </c>
      <c r="H106" s="368">
        <v>2012204</v>
      </c>
      <c r="I106" s="370">
        <v>2012204</v>
      </c>
      <c r="J106" s="162">
        <f t="shared" si="18"/>
        <v>0</v>
      </c>
      <c r="K106" s="162"/>
      <c r="L106" s="380">
        <f>H106</f>
        <v>2012204</v>
      </c>
      <c r="M106" s="381">
        <f>IF(L106&lt;&gt;0,+H106-L106,0)</f>
        <v>0</v>
      </c>
      <c r="N106" s="380">
        <f>I106</f>
        <v>2012204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2016</v>
      </c>
      <c r="D107" s="366">
        <v>12547158</v>
      </c>
      <c r="E107" s="368">
        <v>317731</v>
      </c>
      <c r="F107" s="371">
        <v>12229427</v>
      </c>
      <c r="G107" s="371">
        <v>12388292.5</v>
      </c>
      <c r="H107" s="368">
        <v>1914777</v>
      </c>
      <c r="I107" s="370">
        <v>1914777</v>
      </c>
      <c r="J107" s="162">
        <v>0</v>
      </c>
      <c r="K107" s="162"/>
      <c r="L107" s="380">
        <f>H107</f>
        <v>1914777</v>
      </c>
      <c r="M107" s="381">
        <f>IF(L107&lt;&gt;0,+H107-L107,0)</f>
        <v>0</v>
      </c>
      <c r="N107" s="380">
        <f>I107</f>
        <v>1914777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4"/>
        <v/>
      </c>
      <c r="C108" s="157">
        <f>IF(D93="","-",+C107+1)</f>
        <v>2017</v>
      </c>
      <c r="D108" s="158">
        <f>IF(F107+SUM(E$99:E107)=D$92,F107,D$92-SUM(E$99:E107))</f>
        <v>12229427</v>
      </c>
      <c r="E108" s="165">
        <f>IF(+J96&lt;F107,J96,D108)</f>
        <v>317731</v>
      </c>
      <c r="F108" s="163">
        <f t="shared" ref="F108:F130" si="25">+D108-E108</f>
        <v>11911696</v>
      </c>
      <c r="G108" s="163">
        <f t="shared" si="17"/>
        <v>12070561.5</v>
      </c>
      <c r="H108" s="167">
        <f t="shared" ref="H108:H154" si="26">ROUND(J$94*G108,0)+E108</f>
        <v>1848912</v>
      </c>
      <c r="I108" s="317">
        <f t="shared" ref="I108:I154" si="27">ROUND(J$95*G108,0)+E108</f>
        <v>1848912</v>
      </c>
      <c r="J108" s="162">
        <f t="shared" si="18"/>
        <v>0</v>
      </c>
      <c r="K108" s="162"/>
      <c r="L108" s="335"/>
      <c r="M108" s="162">
        <f t="shared" si="19"/>
        <v>0</v>
      </c>
      <c r="N108" s="335"/>
      <c r="O108" s="162">
        <f t="shared" si="20"/>
        <v>0</v>
      </c>
      <c r="P108" s="162">
        <f t="shared" si="21"/>
        <v>0</v>
      </c>
    </row>
    <row r="109" spans="1:16">
      <c r="B109" s="9" t="str">
        <f t="shared" si="24"/>
        <v/>
      </c>
      <c r="C109" s="157">
        <f>IF(D93="","-",+C108+1)</f>
        <v>2018</v>
      </c>
      <c r="D109" s="158">
        <f>IF(F108+SUM(E$99:E108)=D$92,F108,D$92-SUM(E$99:E108))</f>
        <v>11911696</v>
      </c>
      <c r="E109" s="165">
        <f>IF(+J96&lt;F108,J96,D109)</f>
        <v>317731</v>
      </c>
      <c r="F109" s="163">
        <f t="shared" si="25"/>
        <v>11593965</v>
      </c>
      <c r="G109" s="163">
        <f t="shared" si="17"/>
        <v>11752830.5</v>
      </c>
      <c r="H109" s="167">
        <f t="shared" si="26"/>
        <v>1808607</v>
      </c>
      <c r="I109" s="317">
        <f t="shared" si="27"/>
        <v>1808607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4"/>
        <v/>
      </c>
      <c r="C110" s="157">
        <f>IF(D93="","-",+C109+1)</f>
        <v>2019</v>
      </c>
      <c r="D110" s="158">
        <f>IF(F109+SUM(E$99:E109)=D$92,F109,D$92-SUM(E$99:E109))</f>
        <v>11593965</v>
      </c>
      <c r="E110" s="165">
        <f>IF(+J96&lt;F109,J96,D110)</f>
        <v>317731</v>
      </c>
      <c r="F110" s="163">
        <f t="shared" si="25"/>
        <v>11276234</v>
      </c>
      <c r="G110" s="163">
        <f t="shared" si="17"/>
        <v>11435099.5</v>
      </c>
      <c r="H110" s="167">
        <f t="shared" si="26"/>
        <v>1768302</v>
      </c>
      <c r="I110" s="317">
        <f t="shared" si="27"/>
        <v>1768302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4"/>
        <v/>
      </c>
      <c r="C111" s="157">
        <f>IF(D93="","-",+C110+1)</f>
        <v>2020</v>
      </c>
      <c r="D111" s="158">
        <f>IF(F110+SUM(E$99:E110)=D$92,F110,D$92-SUM(E$99:E110))</f>
        <v>11276234</v>
      </c>
      <c r="E111" s="165">
        <f>IF(+J96&lt;F110,J96,D111)</f>
        <v>317731</v>
      </c>
      <c r="F111" s="163">
        <f t="shared" si="25"/>
        <v>10958503</v>
      </c>
      <c r="G111" s="163">
        <f t="shared" si="17"/>
        <v>11117368.5</v>
      </c>
      <c r="H111" s="167">
        <f t="shared" si="26"/>
        <v>1727997</v>
      </c>
      <c r="I111" s="317">
        <f t="shared" si="27"/>
        <v>1727997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4"/>
        <v/>
      </c>
      <c r="C112" s="157">
        <f>IF(D93="","-",+C111+1)</f>
        <v>2021</v>
      </c>
      <c r="D112" s="158">
        <f>IF(F111+SUM(E$99:E111)=D$92,F111,D$92-SUM(E$99:E111))</f>
        <v>10958503</v>
      </c>
      <c r="E112" s="165">
        <f>IF(+J96&lt;F111,J96,D112)</f>
        <v>317731</v>
      </c>
      <c r="F112" s="163">
        <f t="shared" si="25"/>
        <v>10640772</v>
      </c>
      <c r="G112" s="163">
        <f t="shared" si="17"/>
        <v>10799637.5</v>
      </c>
      <c r="H112" s="167">
        <f t="shared" si="26"/>
        <v>1687692</v>
      </c>
      <c r="I112" s="317">
        <f t="shared" si="27"/>
        <v>1687692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4"/>
        <v/>
      </c>
      <c r="C113" s="157">
        <f>IF(D93="","-",+C112+1)</f>
        <v>2022</v>
      </c>
      <c r="D113" s="158">
        <f>IF(F112+SUM(E$99:E112)=D$92,F112,D$92-SUM(E$99:E112))</f>
        <v>10640772</v>
      </c>
      <c r="E113" s="165">
        <f>IF(+J96&lt;F112,J96,D113)</f>
        <v>317731</v>
      </c>
      <c r="F113" s="163">
        <f t="shared" si="25"/>
        <v>10323041</v>
      </c>
      <c r="G113" s="163">
        <f t="shared" si="17"/>
        <v>10481906.5</v>
      </c>
      <c r="H113" s="167">
        <f t="shared" si="26"/>
        <v>1647387</v>
      </c>
      <c r="I113" s="317">
        <f t="shared" si="27"/>
        <v>1647387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4"/>
        <v/>
      </c>
      <c r="C114" s="157">
        <f>IF(D93="","-",+C113+1)</f>
        <v>2023</v>
      </c>
      <c r="D114" s="158">
        <f>IF(F113+SUM(E$99:E113)=D$92,F113,D$92-SUM(E$99:E113))</f>
        <v>10323041</v>
      </c>
      <c r="E114" s="165">
        <f>IF(+J96&lt;F113,J96,D114)</f>
        <v>317731</v>
      </c>
      <c r="F114" s="163">
        <f t="shared" si="25"/>
        <v>10005310</v>
      </c>
      <c r="G114" s="163">
        <f t="shared" si="17"/>
        <v>10164175.5</v>
      </c>
      <c r="H114" s="167">
        <f t="shared" si="26"/>
        <v>1607082</v>
      </c>
      <c r="I114" s="317">
        <f t="shared" si="27"/>
        <v>1607082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4"/>
        <v/>
      </c>
      <c r="C115" s="157">
        <f>IF(D93="","-",+C114+1)</f>
        <v>2024</v>
      </c>
      <c r="D115" s="158">
        <f>IF(F114+SUM(E$99:E114)=D$92,F114,D$92-SUM(E$99:E114))</f>
        <v>10005310</v>
      </c>
      <c r="E115" s="165">
        <f>IF(+J96&lt;F114,J96,D115)</f>
        <v>317731</v>
      </c>
      <c r="F115" s="163">
        <f t="shared" si="25"/>
        <v>9687579</v>
      </c>
      <c r="G115" s="163">
        <f t="shared" si="17"/>
        <v>9846444.5</v>
      </c>
      <c r="H115" s="167">
        <f t="shared" si="26"/>
        <v>1566777</v>
      </c>
      <c r="I115" s="317">
        <f t="shared" si="27"/>
        <v>1566777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4"/>
        <v/>
      </c>
      <c r="C116" s="157">
        <f>IF(D93="","-",+C115+1)</f>
        <v>2025</v>
      </c>
      <c r="D116" s="158">
        <f>IF(F115+SUM(E$99:E115)=D$92,F115,D$92-SUM(E$99:E115))</f>
        <v>9687579</v>
      </c>
      <c r="E116" s="165">
        <f>IF(+J96&lt;F115,J96,D116)</f>
        <v>317731</v>
      </c>
      <c r="F116" s="163">
        <f t="shared" si="25"/>
        <v>9369848</v>
      </c>
      <c r="G116" s="163">
        <f t="shared" si="17"/>
        <v>9528713.5</v>
      </c>
      <c r="H116" s="167">
        <f t="shared" si="26"/>
        <v>1526472</v>
      </c>
      <c r="I116" s="317">
        <f t="shared" si="27"/>
        <v>1526472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4"/>
        <v/>
      </c>
      <c r="C117" s="157">
        <f>IF(D93="","-",+C116+1)</f>
        <v>2026</v>
      </c>
      <c r="D117" s="158">
        <f>IF(F116+SUM(E$99:E116)=D$92,F116,D$92-SUM(E$99:E116))</f>
        <v>9369848</v>
      </c>
      <c r="E117" s="165">
        <f>IF(+J96&lt;F116,J96,D117)</f>
        <v>317731</v>
      </c>
      <c r="F117" s="163">
        <f t="shared" si="25"/>
        <v>9052117</v>
      </c>
      <c r="G117" s="163">
        <f t="shared" si="17"/>
        <v>9210982.5</v>
      </c>
      <c r="H117" s="167">
        <f t="shared" si="26"/>
        <v>1486167</v>
      </c>
      <c r="I117" s="317">
        <f t="shared" si="27"/>
        <v>1486167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4"/>
        <v/>
      </c>
      <c r="C118" s="157">
        <f>IF(D93="","-",+C117+1)</f>
        <v>2027</v>
      </c>
      <c r="D118" s="158">
        <f>IF(F117+SUM(E$99:E117)=D$92,F117,D$92-SUM(E$99:E117))</f>
        <v>9052117</v>
      </c>
      <c r="E118" s="165">
        <f>IF(+J96&lt;F117,J96,D118)</f>
        <v>317731</v>
      </c>
      <c r="F118" s="163">
        <f t="shared" si="25"/>
        <v>8734386</v>
      </c>
      <c r="G118" s="163">
        <f t="shared" si="17"/>
        <v>8893251.5</v>
      </c>
      <c r="H118" s="167">
        <f t="shared" si="26"/>
        <v>1445862</v>
      </c>
      <c r="I118" s="317">
        <f t="shared" si="27"/>
        <v>1445862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4"/>
        <v/>
      </c>
      <c r="C119" s="157">
        <f>IF(D93="","-",+C118+1)</f>
        <v>2028</v>
      </c>
      <c r="D119" s="158">
        <f>IF(F118+SUM(E$99:E118)=D$92,F118,D$92-SUM(E$99:E118))</f>
        <v>8734386</v>
      </c>
      <c r="E119" s="165">
        <f>IF(+J96&lt;F118,J96,D119)</f>
        <v>317731</v>
      </c>
      <c r="F119" s="163">
        <f t="shared" si="25"/>
        <v>8416655</v>
      </c>
      <c r="G119" s="163">
        <f t="shared" si="17"/>
        <v>8575520.5</v>
      </c>
      <c r="H119" s="167">
        <f t="shared" si="26"/>
        <v>1405557</v>
      </c>
      <c r="I119" s="317">
        <f t="shared" si="27"/>
        <v>1405557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4"/>
        <v/>
      </c>
      <c r="C120" s="157">
        <f>IF(D93="","-",+C119+1)</f>
        <v>2029</v>
      </c>
      <c r="D120" s="158">
        <f>IF(F119+SUM(E$99:E119)=D$92,F119,D$92-SUM(E$99:E119))</f>
        <v>8416655</v>
      </c>
      <c r="E120" s="165">
        <f>IF(+J96&lt;F119,J96,D120)</f>
        <v>317731</v>
      </c>
      <c r="F120" s="163">
        <f t="shared" si="25"/>
        <v>8098924</v>
      </c>
      <c r="G120" s="163">
        <f t="shared" si="17"/>
        <v>8257789.5</v>
      </c>
      <c r="H120" s="167">
        <f t="shared" si="26"/>
        <v>1365252</v>
      </c>
      <c r="I120" s="317">
        <f t="shared" si="27"/>
        <v>1365252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4"/>
        <v/>
      </c>
      <c r="C121" s="157">
        <f>IF(D93="","-",+C120+1)</f>
        <v>2030</v>
      </c>
      <c r="D121" s="158">
        <f>IF(F120+SUM(E$99:E120)=D$92,F120,D$92-SUM(E$99:E120))</f>
        <v>8098924</v>
      </c>
      <c r="E121" s="165">
        <f>IF(+J96&lt;F120,J96,D121)</f>
        <v>317731</v>
      </c>
      <c r="F121" s="163">
        <f t="shared" si="25"/>
        <v>7781193</v>
      </c>
      <c r="G121" s="163">
        <f t="shared" si="17"/>
        <v>7940058.5</v>
      </c>
      <c r="H121" s="167">
        <f t="shared" si="26"/>
        <v>1324947</v>
      </c>
      <c r="I121" s="317">
        <f t="shared" si="27"/>
        <v>1324947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4"/>
        <v/>
      </c>
      <c r="C122" s="157">
        <f>IF(D93="","-",+C121+1)</f>
        <v>2031</v>
      </c>
      <c r="D122" s="158">
        <f>IF(F121+SUM(E$99:E121)=D$92,F121,D$92-SUM(E$99:E121))</f>
        <v>7781193</v>
      </c>
      <c r="E122" s="165">
        <f>IF(+J96&lt;F121,J96,D122)</f>
        <v>317731</v>
      </c>
      <c r="F122" s="163">
        <f t="shared" si="25"/>
        <v>7463462</v>
      </c>
      <c r="G122" s="163">
        <f t="shared" si="17"/>
        <v>7622327.5</v>
      </c>
      <c r="H122" s="167">
        <f t="shared" si="26"/>
        <v>1284642</v>
      </c>
      <c r="I122" s="317">
        <f t="shared" si="27"/>
        <v>1284642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4"/>
        <v/>
      </c>
      <c r="C123" s="157">
        <f>IF(D93="","-",+C122+1)</f>
        <v>2032</v>
      </c>
      <c r="D123" s="158">
        <f>IF(F122+SUM(E$99:E122)=D$92,F122,D$92-SUM(E$99:E122))</f>
        <v>7463462</v>
      </c>
      <c r="E123" s="165">
        <f>IF(+J96&lt;F122,J96,D123)</f>
        <v>317731</v>
      </c>
      <c r="F123" s="163">
        <f t="shared" si="25"/>
        <v>7145731</v>
      </c>
      <c r="G123" s="163">
        <f t="shared" si="17"/>
        <v>7304596.5</v>
      </c>
      <c r="H123" s="167">
        <f t="shared" si="26"/>
        <v>1244337</v>
      </c>
      <c r="I123" s="317">
        <f t="shared" si="27"/>
        <v>1244337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4"/>
        <v/>
      </c>
      <c r="C124" s="157">
        <f>IF(D93="","-",+C123+1)</f>
        <v>2033</v>
      </c>
      <c r="D124" s="158">
        <f>IF(F123+SUM(E$99:E123)=D$92,F123,D$92-SUM(E$99:E123))</f>
        <v>7145731</v>
      </c>
      <c r="E124" s="165">
        <f>IF(+J96&lt;F123,J96,D124)</f>
        <v>317731</v>
      </c>
      <c r="F124" s="163">
        <f t="shared" si="25"/>
        <v>6828000</v>
      </c>
      <c r="G124" s="163">
        <f t="shared" si="17"/>
        <v>6986865.5</v>
      </c>
      <c r="H124" s="167">
        <f t="shared" si="26"/>
        <v>1204033</v>
      </c>
      <c r="I124" s="317">
        <f t="shared" si="27"/>
        <v>1204033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4"/>
        <v/>
      </c>
      <c r="C125" s="157">
        <f>IF(D93="","-",+C124+1)</f>
        <v>2034</v>
      </c>
      <c r="D125" s="158">
        <f>IF(F124+SUM(E$99:E124)=D$92,F124,D$92-SUM(E$99:E124))</f>
        <v>6828000</v>
      </c>
      <c r="E125" s="165">
        <f>IF(+J96&lt;F124,J96,D125)</f>
        <v>317731</v>
      </c>
      <c r="F125" s="163">
        <f t="shared" si="25"/>
        <v>6510269</v>
      </c>
      <c r="G125" s="163">
        <f t="shared" si="17"/>
        <v>6669134.5</v>
      </c>
      <c r="H125" s="167">
        <f t="shared" si="26"/>
        <v>1163728</v>
      </c>
      <c r="I125" s="317">
        <f t="shared" si="27"/>
        <v>1163728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4"/>
        <v/>
      </c>
      <c r="C126" s="157">
        <f>IF(D93="","-",+C125+1)</f>
        <v>2035</v>
      </c>
      <c r="D126" s="158">
        <f>IF(F125+SUM(E$99:E125)=D$92,F125,D$92-SUM(E$99:E125))</f>
        <v>6510269</v>
      </c>
      <c r="E126" s="165">
        <f>IF(+J96&lt;F125,J96,D126)</f>
        <v>317731</v>
      </c>
      <c r="F126" s="163">
        <f t="shared" si="25"/>
        <v>6192538</v>
      </c>
      <c r="G126" s="163">
        <f t="shared" si="17"/>
        <v>6351403.5</v>
      </c>
      <c r="H126" s="167">
        <f t="shared" si="26"/>
        <v>1123423</v>
      </c>
      <c r="I126" s="317">
        <f t="shared" si="27"/>
        <v>1123423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4"/>
        <v/>
      </c>
      <c r="C127" s="157">
        <f>IF(D93="","-",+C126+1)</f>
        <v>2036</v>
      </c>
      <c r="D127" s="158">
        <f>IF(F126+SUM(E$99:E126)=D$92,F126,D$92-SUM(E$99:E126))</f>
        <v>6192538</v>
      </c>
      <c r="E127" s="165">
        <f>IF(+J96&lt;F126,J96,D127)</f>
        <v>317731</v>
      </c>
      <c r="F127" s="163">
        <f t="shared" si="25"/>
        <v>5874807</v>
      </c>
      <c r="G127" s="163">
        <f t="shared" si="17"/>
        <v>6033672.5</v>
      </c>
      <c r="H127" s="167">
        <f t="shared" si="26"/>
        <v>1083118</v>
      </c>
      <c r="I127" s="317">
        <f t="shared" si="27"/>
        <v>1083118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4"/>
        <v/>
      </c>
      <c r="C128" s="157">
        <f>IF(D93="","-",+C127+1)</f>
        <v>2037</v>
      </c>
      <c r="D128" s="158">
        <f>IF(F127+SUM(E$99:E127)=D$92,F127,D$92-SUM(E$99:E127))</f>
        <v>5874807</v>
      </c>
      <c r="E128" s="165">
        <f>IF(+J96&lt;F127,J96,D128)</f>
        <v>317731</v>
      </c>
      <c r="F128" s="163">
        <f t="shared" si="25"/>
        <v>5557076</v>
      </c>
      <c r="G128" s="163">
        <f t="shared" si="17"/>
        <v>5715941.5</v>
      </c>
      <c r="H128" s="167">
        <f t="shared" si="26"/>
        <v>1042813</v>
      </c>
      <c r="I128" s="317">
        <f t="shared" si="27"/>
        <v>1042813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4"/>
        <v/>
      </c>
      <c r="C129" s="157">
        <f>IF(D93="","-",+C128+1)</f>
        <v>2038</v>
      </c>
      <c r="D129" s="158">
        <f>IF(F128+SUM(E$99:E128)=D$92,F128,D$92-SUM(E$99:E128))</f>
        <v>5557076</v>
      </c>
      <c r="E129" s="165">
        <f>IF(+J96&lt;F128,J96,D129)</f>
        <v>317731</v>
      </c>
      <c r="F129" s="163">
        <f t="shared" si="25"/>
        <v>5239345</v>
      </c>
      <c r="G129" s="163">
        <f t="shared" si="17"/>
        <v>5398210.5</v>
      </c>
      <c r="H129" s="167">
        <f t="shared" si="26"/>
        <v>1002508</v>
      </c>
      <c r="I129" s="317">
        <f t="shared" si="27"/>
        <v>1002508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4"/>
        <v/>
      </c>
      <c r="C130" s="157">
        <f>IF(D93="","-",+C129+1)</f>
        <v>2039</v>
      </c>
      <c r="D130" s="158">
        <f>IF(F129+SUM(E$99:E129)=D$92,F129,D$92-SUM(E$99:E129))</f>
        <v>5239345</v>
      </c>
      <c r="E130" s="165">
        <f>IF(+J96&lt;F129,J96,D130)</f>
        <v>317731</v>
      </c>
      <c r="F130" s="163">
        <f t="shared" si="25"/>
        <v>4921614</v>
      </c>
      <c r="G130" s="163">
        <f t="shared" si="17"/>
        <v>5080479.5</v>
      </c>
      <c r="H130" s="167">
        <f t="shared" si="26"/>
        <v>962203</v>
      </c>
      <c r="I130" s="317">
        <f t="shared" si="27"/>
        <v>962203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4"/>
        <v/>
      </c>
      <c r="C131" s="157">
        <f>IF(D93="","-",+C130+1)</f>
        <v>2040</v>
      </c>
      <c r="D131" s="158">
        <f>IF(F130+SUM(E$99:E130)=D$92,F130,D$92-SUM(E$99:E130))</f>
        <v>4921614</v>
      </c>
      <c r="E131" s="165">
        <f>IF(+J96&lt;F130,J96,D131)</f>
        <v>317731</v>
      </c>
      <c r="F131" s="163">
        <f t="shared" ref="F131:F154" si="28">+D131-E131</f>
        <v>4603883</v>
      </c>
      <c r="G131" s="163">
        <f t="shared" ref="G131:G154" si="29">+(F131+D131)/2</f>
        <v>4762748.5</v>
      </c>
      <c r="H131" s="167">
        <f t="shared" si="26"/>
        <v>921898</v>
      </c>
      <c r="I131" s="317">
        <f t="shared" si="27"/>
        <v>921898</v>
      </c>
      <c r="J131" s="162">
        <f t="shared" si="18"/>
        <v>0</v>
      </c>
      <c r="K131" s="162"/>
      <c r="L131" s="335"/>
      <c r="M131" s="162">
        <f t="shared" ref="M131:M154" si="30">IF(L131&lt;&gt;0,+H131-L131,0)</f>
        <v>0</v>
      </c>
      <c r="N131" s="335"/>
      <c r="O131" s="162">
        <f t="shared" ref="O131:O154" si="31">IF(N131&lt;&gt;0,+I131-N131,0)</f>
        <v>0</v>
      </c>
      <c r="P131" s="162">
        <f t="shared" ref="P131:P154" si="32">+O131-M131</f>
        <v>0</v>
      </c>
    </row>
    <row r="132" spans="2:16">
      <c r="B132" s="9" t="str">
        <f t="shared" si="24"/>
        <v/>
      </c>
      <c r="C132" s="157">
        <f>IF(D93="","-",+C131+1)</f>
        <v>2041</v>
      </c>
      <c r="D132" s="158">
        <f>IF(F131+SUM(E$99:E131)=D$92,F131,D$92-SUM(E$99:E131))</f>
        <v>4603883</v>
      </c>
      <c r="E132" s="165">
        <f>IF(+J96&lt;F131,J96,D132)</f>
        <v>317731</v>
      </c>
      <c r="F132" s="163">
        <f t="shared" si="28"/>
        <v>4286152</v>
      </c>
      <c r="G132" s="163">
        <f t="shared" si="29"/>
        <v>4445017.5</v>
      </c>
      <c r="H132" s="167">
        <f t="shared" si="26"/>
        <v>881593</v>
      </c>
      <c r="I132" s="317">
        <f t="shared" si="27"/>
        <v>881593</v>
      </c>
      <c r="J132" s="162">
        <f t="shared" ref="J132:J154" si="33">+I132-H132</f>
        <v>0</v>
      </c>
      <c r="K132" s="162"/>
      <c r="L132" s="335"/>
      <c r="M132" s="162">
        <f t="shared" si="30"/>
        <v>0</v>
      </c>
      <c r="N132" s="335"/>
      <c r="O132" s="162">
        <f t="shared" si="31"/>
        <v>0</v>
      </c>
      <c r="P132" s="162">
        <f t="shared" si="32"/>
        <v>0</v>
      </c>
    </row>
    <row r="133" spans="2:16">
      <c r="B133" s="9" t="str">
        <f t="shared" si="24"/>
        <v/>
      </c>
      <c r="C133" s="157">
        <f>IF(D93="","-",+C132+1)</f>
        <v>2042</v>
      </c>
      <c r="D133" s="158">
        <f>IF(F132+SUM(E$99:E132)=D$92,F132,D$92-SUM(E$99:E132))</f>
        <v>4286152</v>
      </c>
      <c r="E133" s="165">
        <f>IF(+J96&lt;F132,J96,D133)</f>
        <v>317731</v>
      </c>
      <c r="F133" s="163">
        <f t="shared" si="28"/>
        <v>3968421</v>
      </c>
      <c r="G133" s="163">
        <f t="shared" si="29"/>
        <v>4127286.5</v>
      </c>
      <c r="H133" s="167">
        <f t="shared" si="26"/>
        <v>841288</v>
      </c>
      <c r="I133" s="317">
        <f t="shared" si="27"/>
        <v>841288</v>
      </c>
      <c r="J133" s="162">
        <f t="shared" si="33"/>
        <v>0</v>
      </c>
      <c r="K133" s="162"/>
      <c r="L133" s="335"/>
      <c r="M133" s="162">
        <f t="shared" si="30"/>
        <v>0</v>
      </c>
      <c r="N133" s="335"/>
      <c r="O133" s="162">
        <f t="shared" si="31"/>
        <v>0</v>
      </c>
      <c r="P133" s="162">
        <f t="shared" si="32"/>
        <v>0</v>
      </c>
    </row>
    <row r="134" spans="2:16">
      <c r="B134" s="9" t="str">
        <f t="shared" si="24"/>
        <v/>
      </c>
      <c r="C134" s="157">
        <f>IF(D93="","-",+C133+1)</f>
        <v>2043</v>
      </c>
      <c r="D134" s="158">
        <f>IF(F133+SUM(E$99:E133)=D$92,F133,D$92-SUM(E$99:E133))</f>
        <v>3968421</v>
      </c>
      <c r="E134" s="165">
        <f>IF(+J96&lt;F133,J96,D134)</f>
        <v>317731</v>
      </c>
      <c r="F134" s="163">
        <f t="shared" si="28"/>
        <v>3650690</v>
      </c>
      <c r="G134" s="163">
        <f t="shared" si="29"/>
        <v>3809555.5</v>
      </c>
      <c r="H134" s="167">
        <f t="shared" si="26"/>
        <v>800983</v>
      </c>
      <c r="I134" s="317">
        <f t="shared" si="27"/>
        <v>800983</v>
      </c>
      <c r="J134" s="162">
        <f t="shared" si="33"/>
        <v>0</v>
      </c>
      <c r="K134" s="162"/>
      <c r="L134" s="335"/>
      <c r="M134" s="162">
        <f t="shared" si="30"/>
        <v>0</v>
      </c>
      <c r="N134" s="335"/>
      <c r="O134" s="162">
        <f t="shared" si="31"/>
        <v>0</v>
      </c>
      <c r="P134" s="162">
        <f t="shared" si="32"/>
        <v>0</v>
      </c>
    </row>
    <row r="135" spans="2:16">
      <c r="B135" s="9" t="str">
        <f t="shared" si="24"/>
        <v/>
      </c>
      <c r="C135" s="157">
        <f>IF(D93="","-",+C134+1)</f>
        <v>2044</v>
      </c>
      <c r="D135" s="158">
        <f>IF(F134+SUM(E$99:E134)=D$92,F134,D$92-SUM(E$99:E134))</f>
        <v>3650690</v>
      </c>
      <c r="E135" s="165">
        <f>IF(+J96&lt;F134,J96,D135)</f>
        <v>317731</v>
      </c>
      <c r="F135" s="163">
        <f t="shared" si="28"/>
        <v>3332959</v>
      </c>
      <c r="G135" s="163">
        <f t="shared" si="29"/>
        <v>3491824.5</v>
      </c>
      <c r="H135" s="167">
        <f t="shared" si="26"/>
        <v>760678</v>
      </c>
      <c r="I135" s="317">
        <f t="shared" si="27"/>
        <v>760678</v>
      </c>
      <c r="J135" s="162">
        <f t="shared" si="33"/>
        <v>0</v>
      </c>
      <c r="K135" s="162"/>
      <c r="L135" s="335"/>
      <c r="M135" s="162">
        <f t="shared" si="30"/>
        <v>0</v>
      </c>
      <c r="N135" s="335"/>
      <c r="O135" s="162">
        <f t="shared" si="31"/>
        <v>0</v>
      </c>
      <c r="P135" s="162">
        <f t="shared" si="32"/>
        <v>0</v>
      </c>
    </row>
    <row r="136" spans="2:16">
      <c r="B136" s="9" t="str">
        <f t="shared" si="24"/>
        <v/>
      </c>
      <c r="C136" s="157">
        <f>IF(D93="","-",+C135+1)</f>
        <v>2045</v>
      </c>
      <c r="D136" s="158">
        <f>IF(F135+SUM(E$99:E135)=D$92,F135,D$92-SUM(E$99:E135))</f>
        <v>3332959</v>
      </c>
      <c r="E136" s="165">
        <f>IF(+J96&lt;F135,J96,D136)</f>
        <v>317731</v>
      </c>
      <c r="F136" s="163">
        <f t="shared" si="28"/>
        <v>3015228</v>
      </c>
      <c r="G136" s="163">
        <f t="shared" si="29"/>
        <v>3174093.5</v>
      </c>
      <c r="H136" s="167">
        <f t="shared" si="26"/>
        <v>720373</v>
      </c>
      <c r="I136" s="317">
        <f t="shared" si="27"/>
        <v>720373</v>
      </c>
      <c r="J136" s="162">
        <f t="shared" si="33"/>
        <v>0</v>
      </c>
      <c r="K136" s="162"/>
      <c r="L136" s="335"/>
      <c r="M136" s="162">
        <f t="shared" si="30"/>
        <v>0</v>
      </c>
      <c r="N136" s="335"/>
      <c r="O136" s="162">
        <f t="shared" si="31"/>
        <v>0</v>
      </c>
      <c r="P136" s="162">
        <f t="shared" si="32"/>
        <v>0</v>
      </c>
    </row>
    <row r="137" spans="2:16">
      <c r="B137" s="9" t="str">
        <f t="shared" si="24"/>
        <v/>
      </c>
      <c r="C137" s="157">
        <f>IF(D93="","-",+C136+1)</f>
        <v>2046</v>
      </c>
      <c r="D137" s="158">
        <f>IF(F136+SUM(E$99:E136)=D$92,F136,D$92-SUM(E$99:E136))</f>
        <v>3015228</v>
      </c>
      <c r="E137" s="165">
        <f>IF(+J96&lt;F136,J96,D137)</f>
        <v>317731</v>
      </c>
      <c r="F137" s="163">
        <f t="shared" si="28"/>
        <v>2697497</v>
      </c>
      <c r="G137" s="163">
        <f t="shared" si="29"/>
        <v>2856362.5</v>
      </c>
      <c r="H137" s="167">
        <f t="shared" si="26"/>
        <v>680068</v>
      </c>
      <c r="I137" s="317">
        <f t="shared" si="27"/>
        <v>680068</v>
      </c>
      <c r="J137" s="162">
        <f t="shared" si="33"/>
        <v>0</v>
      </c>
      <c r="K137" s="162"/>
      <c r="L137" s="335"/>
      <c r="M137" s="162">
        <f t="shared" si="30"/>
        <v>0</v>
      </c>
      <c r="N137" s="335"/>
      <c r="O137" s="162">
        <f t="shared" si="31"/>
        <v>0</v>
      </c>
      <c r="P137" s="162">
        <f t="shared" si="32"/>
        <v>0</v>
      </c>
    </row>
    <row r="138" spans="2:16">
      <c r="B138" s="9" t="str">
        <f t="shared" si="24"/>
        <v/>
      </c>
      <c r="C138" s="157">
        <f>IF(D93="","-",+C137+1)</f>
        <v>2047</v>
      </c>
      <c r="D138" s="158">
        <f>IF(F137+SUM(E$99:E137)=D$92,F137,D$92-SUM(E$99:E137))</f>
        <v>2697497</v>
      </c>
      <c r="E138" s="165">
        <f>IF(+J96&lt;F137,J96,D138)</f>
        <v>317731</v>
      </c>
      <c r="F138" s="163">
        <f t="shared" si="28"/>
        <v>2379766</v>
      </c>
      <c r="G138" s="163">
        <f t="shared" si="29"/>
        <v>2538631.5</v>
      </c>
      <c r="H138" s="167">
        <f t="shared" si="26"/>
        <v>639763</v>
      </c>
      <c r="I138" s="317">
        <f t="shared" si="27"/>
        <v>639763</v>
      </c>
      <c r="J138" s="162">
        <f t="shared" si="33"/>
        <v>0</v>
      </c>
      <c r="K138" s="162"/>
      <c r="L138" s="335"/>
      <c r="M138" s="162">
        <f t="shared" si="30"/>
        <v>0</v>
      </c>
      <c r="N138" s="335"/>
      <c r="O138" s="162">
        <f t="shared" si="31"/>
        <v>0</v>
      </c>
      <c r="P138" s="162">
        <f t="shared" si="32"/>
        <v>0</v>
      </c>
    </row>
    <row r="139" spans="2:16">
      <c r="B139" s="9" t="str">
        <f t="shared" si="24"/>
        <v/>
      </c>
      <c r="C139" s="157">
        <f>IF(D93="","-",+C138+1)</f>
        <v>2048</v>
      </c>
      <c r="D139" s="158">
        <f>IF(F138+SUM(E$99:E138)=D$92,F138,D$92-SUM(E$99:E138))</f>
        <v>2379766</v>
      </c>
      <c r="E139" s="165">
        <f>IF(+J96&lt;F138,J96,D139)</f>
        <v>317731</v>
      </c>
      <c r="F139" s="163">
        <f t="shared" si="28"/>
        <v>2062035</v>
      </c>
      <c r="G139" s="163">
        <f t="shared" si="29"/>
        <v>2220900.5</v>
      </c>
      <c r="H139" s="167">
        <f t="shared" si="26"/>
        <v>599458</v>
      </c>
      <c r="I139" s="317">
        <f t="shared" si="27"/>
        <v>599458</v>
      </c>
      <c r="J139" s="162">
        <f t="shared" si="33"/>
        <v>0</v>
      </c>
      <c r="K139" s="162"/>
      <c r="L139" s="335"/>
      <c r="M139" s="162">
        <f t="shared" si="30"/>
        <v>0</v>
      </c>
      <c r="N139" s="335"/>
      <c r="O139" s="162">
        <f t="shared" si="31"/>
        <v>0</v>
      </c>
      <c r="P139" s="162">
        <f t="shared" si="32"/>
        <v>0</v>
      </c>
    </row>
    <row r="140" spans="2:16">
      <c r="B140" s="9" t="str">
        <f t="shared" si="24"/>
        <v/>
      </c>
      <c r="C140" s="157">
        <f>IF(D93="","-",+C139+1)</f>
        <v>2049</v>
      </c>
      <c r="D140" s="158">
        <f>IF(F139+SUM(E$99:E139)=D$92,F139,D$92-SUM(E$99:E139))</f>
        <v>2062035</v>
      </c>
      <c r="E140" s="165">
        <f>IF(+J96&lt;F139,J96,D140)</f>
        <v>317731</v>
      </c>
      <c r="F140" s="163">
        <f t="shared" si="28"/>
        <v>1744304</v>
      </c>
      <c r="G140" s="163">
        <f t="shared" si="29"/>
        <v>1903169.5</v>
      </c>
      <c r="H140" s="167">
        <f t="shared" si="26"/>
        <v>559153</v>
      </c>
      <c r="I140" s="317">
        <f t="shared" si="27"/>
        <v>559153</v>
      </c>
      <c r="J140" s="162">
        <f t="shared" si="33"/>
        <v>0</v>
      </c>
      <c r="K140" s="162"/>
      <c r="L140" s="335"/>
      <c r="M140" s="162">
        <f t="shared" si="30"/>
        <v>0</v>
      </c>
      <c r="N140" s="335"/>
      <c r="O140" s="162">
        <f t="shared" si="31"/>
        <v>0</v>
      </c>
      <c r="P140" s="162">
        <f t="shared" si="32"/>
        <v>0</v>
      </c>
    </row>
    <row r="141" spans="2:16">
      <c r="B141" s="9" t="str">
        <f t="shared" si="24"/>
        <v/>
      </c>
      <c r="C141" s="157">
        <f>IF(D93="","-",+C140+1)</f>
        <v>2050</v>
      </c>
      <c r="D141" s="158">
        <f>IF(F140+SUM(E$99:E140)=D$92,F140,D$92-SUM(E$99:E140))</f>
        <v>1744304</v>
      </c>
      <c r="E141" s="165">
        <f>IF(+J96&lt;F140,J96,D141)</f>
        <v>317731</v>
      </c>
      <c r="F141" s="163">
        <f t="shared" si="28"/>
        <v>1426573</v>
      </c>
      <c r="G141" s="163">
        <f t="shared" si="29"/>
        <v>1585438.5</v>
      </c>
      <c r="H141" s="167">
        <f t="shared" si="26"/>
        <v>518848</v>
      </c>
      <c r="I141" s="317">
        <f t="shared" si="27"/>
        <v>518848</v>
      </c>
      <c r="J141" s="162">
        <f t="shared" si="33"/>
        <v>0</v>
      </c>
      <c r="K141" s="162"/>
      <c r="L141" s="335"/>
      <c r="M141" s="162">
        <f t="shared" si="30"/>
        <v>0</v>
      </c>
      <c r="N141" s="335"/>
      <c r="O141" s="162">
        <f t="shared" si="31"/>
        <v>0</v>
      </c>
      <c r="P141" s="162">
        <f t="shared" si="32"/>
        <v>0</v>
      </c>
    </row>
    <row r="142" spans="2:16">
      <c r="B142" s="9" t="str">
        <f t="shared" si="24"/>
        <v/>
      </c>
      <c r="C142" s="157">
        <f>IF(D93="","-",+C141+1)</f>
        <v>2051</v>
      </c>
      <c r="D142" s="158">
        <f>IF(F141+SUM(E$99:E141)=D$92,F141,D$92-SUM(E$99:E141))</f>
        <v>1426573</v>
      </c>
      <c r="E142" s="165">
        <f>IF(+J96&lt;F141,J96,D142)</f>
        <v>317731</v>
      </c>
      <c r="F142" s="163">
        <f t="shared" si="28"/>
        <v>1108842</v>
      </c>
      <c r="G142" s="163">
        <f t="shared" si="29"/>
        <v>1267707.5</v>
      </c>
      <c r="H142" s="167">
        <f t="shared" si="26"/>
        <v>478543</v>
      </c>
      <c r="I142" s="317">
        <f t="shared" si="27"/>
        <v>478543</v>
      </c>
      <c r="J142" s="162">
        <f t="shared" si="33"/>
        <v>0</v>
      </c>
      <c r="K142" s="162"/>
      <c r="L142" s="335"/>
      <c r="M142" s="162">
        <f t="shared" si="30"/>
        <v>0</v>
      </c>
      <c r="N142" s="335"/>
      <c r="O142" s="162">
        <f t="shared" si="31"/>
        <v>0</v>
      </c>
      <c r="P142" s="162">
        <f t="shared" si="32"/>
        <v>0</v>
      </c>
    </row>
    <row r="143" spans="2:16">
      <c r="B143" s="9" t="str">
        <f t="shared" si="24"/>
        <v/>
      </c>
      <c r="C143" s="157">
        <f>IF(D93="","-",+C142+1)</f>
        <v>2052</v>
      </c>
      <c r="D143" s="158">
        <f>IF(F142+SUM(E$99:E142)=D$92,F142,D$92-SUM(E$99:E142))</f>
        <v>1108842</v>
      </c>
      <c r="E143" s="165">
        <f>IF(+J96&lt;F142,J96,D143)</f>
        <v>317731</v>
      </c>
      <c r="F143" s="163">
        <f t="shared" si="28"/>
        <v>791111</v>
      </c>
      <c r="G143" s="163">
        <f t="shared" si="29"/>
        <v>949976.5</v>
      </c>
      <c r="H143" s="167">
        <f t="shared" si="26"/>
        <v>438238</v>
      </c>
      <c r="I143" s="317">
        <f t="shared" si="27"/>
        <v>438238</v>
      </c>
      <c r="J143" s="162">
        <f t="shared" si="33"/>
        <v>0</v>
      </c>
      <c r="K143" s="162"/>
      <c r="L143" s="335"/>
      <c r="M143" s="162">
        <f t="shared" si="30"/>
        <v>0</v>
      </c>
      <c r="N143" s="335"/>
      <c r="O143" s="162">
        <f t="shared" si="31"/>
        <v>0</v>
      </c>
      <c r="P143" s="162">
        <f t="shared" si="32"/>
        <v>0</v>
      </c>
    </row>
    <row r="144" spans="2:16">
      <c r="B144" s="9" t="str">
        <f t="shared" si="24"/>
        <v/>
      </c>
      <c r="C144" s="157">
        <f>IF(D93="","-",+C143+1)</f>
        <v>2053</v>
      </c>
      <c r="D144" s="158">
        <f>IF(F143+SUM(E$99:E143)=D$92,F143,D$92-SUM(E$99:E143))</f>
        <v>791111</v>
      </c>
      <c r="E144" s="165">
        <f>IF(+J96&lt;F143,J96,D144)</f>
        <v>317731</v>
      </c>
      <c r="F144" s="163">
        <f t="shared" si="28"/>
        <v>473380</v>
      </c>
      <c r="G144" s="163">
        <f t="shared" si="29"/>
        <v>632245.5</v>
      </c>
      <c r="H144" s="167">
        <f t="shared" si="26"/>
        <v>397933</v>
      </c>
      <c r="I144" s="317">
        <f t="shared" si="27"/>
        <v>397933</v>
      </c>
      <c r="J144" s="162">
        <f t="shared" si="33"/>
        <v>0</v>
      </c>
      <c r="K144" s="162"/>
      <c r="L144" s="335"/>
      <c r="M144" s="162">
        <f t="shared" si="30"/>
        <v>0</v>
      </c>
      <c r="N144" s="335"/>
      <c r="O144" s="162">
        <f t="shared" si="31"/>
        <v>0</v>
      </c>
      <c r="P144" s="162">
        <f t="shared" si="32"/>
        <v>0</v>
      </c>
    </row>
    <row r="145" spans="2:16">
      <c r="B145" s="9" t="str">
        <f t="shared" si="24"/>
        <v/>
      </c>
      <c r="C145" s="157">
        <f>IF(D93="","-",+C144+1)</f>
        <v>2054</v>
      </c>
      <c r="D145" s="158">
        <f>IF(F144+SUM(E$99:E144)=D$92,F144,D$92-SUM(E$99:E144))</f>
        <v>473380</v>
      </c>
      <c r="E145" s="165">
        <f>IF(+J96&lt;F144,J96,D145)</f>
        <v>317731</v>
      </c>
      <c r="F145" s="163">
        <f t="shared" si="28"/>
        <v>155649</v>
      </c>
      <c r="G145" s="163">
        <f t="shared" si="29"/>
        <v>314514.5</v>
      </c>
      <c r="H145" s="167">
        <f t="shared" si="26"/>
        <v>357628</v>
      </c>
      <c r="I145" s="317">
        <f t="shared" si="27"/>
        <v>357628</v>
      </c>
      <c r="J145" s="162">
        <f t="shared" si="33"/>
        <v>0</v>
      </c>
      <c r="K145" s="162"/>
      <c r="L145" s="335"/>
      <c r="M145" s="162">
        <f t="shared" si="30"/>
        <v>0</v>
      </c>
      <c r="N145" s="335"/>
      <c r="O145" s="162">
        <f t="shared" si="31"/>
        <v>0</v>
      </c>
      <c r="P145" s="162">
        <f t="shared" si="32"/>
        <v>0</v>
      </c>
    </row>
    <row r="146" spans="2:16">
      <c r="B146" s="9" t="str">
        <f t="shared" si="24"/>
        <v/>
      </c>
      <c r="C146" s="157">
        <f>IF(D93="","-",+C145+1)</f>
        <v>2055</v>
      </c>
      <c r="D146" s="158">
        <f>IF(F145+SUM(E$99:E145)=D$92,F145,D$92-SUM(E$99:E145))</f>
        <v>155649</v>
      </c>
      <c r="E146" s="165">
        <f>IF(+J96&lt;F145,J96,D146)</f>
        <v>155649</v>
      </c>
      <c r="F146" s="163">
        <f t="shared" si="28"/>
        <v>0</v>
      </c>
      <c r="G146" s="163">
        <f t="shared" si="29"/>
        <v>77824.5</v>
      </c>
      <c r="H146" s="167">
        <f t="shared" si="26"/>
        <v>165521</v>
      </c>
      <c r="I146" s="317">
        <f t="shared" si="27"/>
        <v>165521</v>
      </c>
      <c r="J146" s="162">
        <f t="shared" si="33"/>
        <v>0</v>
      </c>
      <c r="K146" s="162"/>
      <c r="L146" s="335"/>
      <c r="M146" s="162">
        <f t="shared" si="30"/>
        <v>0</v>
      </c>
      <c r="N146" s="335"/>
      <c r="O146" s="162">
        <f t="shared" si="31"/>
        <v>0</v>
      </c>
      <c r="P146" s="162">
        <f t="shared" si="32"/>
        <v>0</v>
      </c>
    </row>
    <row r="147" spans="2:16">
      <c r="B147" s="9" t="str">
        <f t="shared" si="24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26"/>
        <v>0</v>
      </c>
      <c r="I147" s="317">
        <f t="shared" si="27"/>
        <v>0</v>
      </c>
      <c r="J147" s="162">
        <f t="shared" si="33"/>
        <v>0</v>
      </c>
      <c r="K147" s="162"/>
      <c r="L147" s="335"/>
      <c r="M147" s="162">
        <f t="shared" si="30"/>
        <v>0</v>
      </c>
      <c r="N147" s="335"/>
      <c r="O147" s="162">
        <f t="shared" si="31"/>
        <v>0</v>
      </c>
      <c r="P147" s="162">
        <f t="shared" si="32"/>
        <v>0</v>
      </c>
    </row>
    <row r="148" spans="2:16">
      <c r="B148" s="9" t="str">
        <f t="shared" si="24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26"/>
        <v>0</v>
      </c>
      <c r="I148" s="317">
        <f t="shared" si="27"/>
        <v>0</v>
      </c>
      <c r="J148" s="162">
        <f t="shared" si="33"/>
        <v>0</v>
      </c>
      <c r="K148" s="162"/>
      <c r="L148" s="335"/>
      <c r="M148" s="162">
        <f t="shared" si="30"/>
        <v>0</v>
      </c>
      <c r="N148" s="335"/>
      <c r="O148" s="162">
        <f t="shared" si="31"/>
        <v>0</v>
      </c>
      <c r="P148" s="162">
        <f t="shared" si="32"/>
        <v>0</v>
      </c>
    </row>
    <row r="149" spans="2:16">
      <c r="B149" s="9" t="str">
        <f t="shared" si="24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26"/>
        <v>0</v>
      </c>
      <c r="I149" s="317">
        <f t="shared" si="27"/>
        <v>0</v>
      </c>
      <c r="J149" s="162">
        <f t="shared" si="33"/>
        <v>0</v>
      </c>
      <c r="K149" s="162"/>
      <c r="L149" s="335"/>
      <c r="M149" s="162">
        <f t="shared" si="30"/>
        <v>0</v>
      </c>
      <c r="N149" s="335"/>
      <c r="O149" s="162">
        <f t="shared" si="31"/>
        <v>0</v>
      </c>
      <c r="P149" s="162">
        <f t="shared" si="32"/>
        <v>0</v>
      </c>
    </row>
    <row r="150" spans="2:16">
      <c r="B150" s="9" t="str">
        <f t="shared" si="24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26"/>
        <v>0</v>
      </c>
      <c r="I150" s="317">
        <f t="shared" si="27"/>
        <v>0</v>
      </c>
      <c r="J150" s="162">
        <f t="shared" si="33"/>
        <v>0</v>
      </c>
      <c r="K150" s="162"/>
      <c r="L150" s="335"/>
      <c r="M150" s="162">
        <f t="shared" si="30"/>
        <v>0</v>
      </c>
      <c r="N150" s="335"/>
      <c r="O150" s="162">
        <f t="shared" si="31"/>
        <v>0</v>
      </c>
      <c r="P150" s="162">
        <f t="shared" si="32"/>
        <v>0</v>
      </c>
    </row>
    <row r="151" spans="2:16">
      <c r="B151" s="9" t="str">
        <f t="shared" si="24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26"/>
        <v>0</v>
      </c>
      <c r="I151" s="317">
        <f t="shared" si="27"/>
        <v>0</v>
      </c>
      <c r="J151" s="162">
        <f t="shared" si="33"/>
        <v>0</v>
      </c>
      <c r="K151" s="162"/>
      <c r="L151" s="335"/>
      <c r="M151" s="162">
        <f t="shared" si="30"/>
        <v>0</v>
      </c>
      <c r="N151" s="335"/>
      <c r="O151" s="162">
        <f t="shared" si="31"/>
        <v>0</v>
      </c>
      <c r="P151" s="162">
        <f t="shared" si="32"/>
        <v>0</v>
      </c>
    </row>
    <row r="152" spans="2:16">
      <c r="B152" s="9" t="str">
        <f t="shared" si="24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26"/>
        <v>0</v>
      </c>
      <c r="I152" s="317">
        <f t="shared" si="27"/>
        <v>0</v>
      </c>
      <c r="J152" s="162">
        <f t="shared" si="33"/>
        <v>0</v>
      </c>
      <c r="K152" s="162"/>
      <c r="L152" s="335"/>
      <c r="M152" s="162">
        <f t="shared" si="30"/>
        <v>0</v>
      </c>
      <c r="N152" s="335"/>
      <c r="O152" s="162">
        <f t="shared" si="31"/>
        <v>0</v>
      </c>
      <c r="P152" s="162">
        <f t="shared" si="32"/>
        <v>0</v>
      </c>
    </row>
    <row r="153" spans="2:16">
      <c r="B153" s="9" t="str">
        <f t="shared" si="24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26"/>
        <v>0</v>
      </c>
      <c r="I153" s="317">
        <f t="shared" si="27"/>
        <v>0</v>
      </c>
      <c r="J153" s="162">
        <f t="shared" si="33"/>
        <v>0</v>
      </c>
      <c r="K153" s="162"/>
      <c r="L153" s="335"/>
      <c r="M153" s="162">
        <f t="shared" si="30"/>
        <v>0</v>
      </c>
      <c r="N153" s="335"/>
      <c r="O153" s="162">
        <f t="shared" si="31"/>
        <v>0</v>
      </c>
      <c r="P153" s="162">
        <f t="shared" si="32"/>
        <v>0</v>
      </c>
    </row>
    <row r="154" spans="2:16" ht="13.5" thickBot="1">
      <c r="B154" s="9" t="str">
        <f t="shared" si="24"/>
        <v/>
      </c>
      <c r="C154" s="168">
        <f>IF(D93="","-",+C153+1)</f>
        <v>2063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26"/>
        <v>0</v>
      </c>
      <c r="I154" s="318">
        <f t="shared" si="27"/>
        <v>0</v>
      </c>
      <c r="J154" s="173">
        <f t="shared" si="33"/>
        <v>0</v>
      </c>
      <c r="K154" s="162"/>
      <c r="L154" s="336"/>
      <c r="M154" s="173">
        <f t="shared" si="30"/>
        <v>0</v>
      </c>
      <c r="N154" s="336"/>
      <c r="O154" s="173">
        <f t="shared" si="31"/>
        <v>0</v>
      </c>
      <c r="P154" s="173">
        <f t="shared" si="32"/>
        <v>0</v>
      </c>
    </row>
    <row r="155" spans="2:16">
      <c r="C155" s="158" t="s">
        <v>72</v>
      </c>
      <c r="D155" s="115"/>
      <c r="E155" s="115">
        <f>SUM(E99:E154)</f>
        <v>14615636</v>
      </c>
      <c r="F155" s="115"/>
      <c r="G155" s="115"/>
      <c r="H155" s="115">
        <f>SUM(H99:H154)</f>
        <v>60936137</v>
      </c>
      <c r="I155" s="115">
        <f>SUM(I99:I154)</f>
        <v>60936137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5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41809.897213779383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41809.897213779383</v>
      </c>
      <c r="O6" s="1"/>
      <c r="P6" s="1"/>
    </row>
    <row r="7" spans="1:16" ht="13.5" thickBot="1">
      <c r="C7" s="127" t="s">
        <v>41</v>
      </c>
      <c r="D7" s="343" t="s">
        <v>198</v>
      </c>
      <c r="E7" s="18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78</v>
      </c>
      <c r="E9" s="428" t="s">
        <v>305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387742</f>
        <v>387742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2006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9693.5499999999993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2006</v>
      </c>
      <c r="D17" s="366">
        <v>387742</v>
      </c>
      <c r="E17" s="367">
        <v>3877</v>
      </c>
      <c r="F17" s="366">
        <v>383865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/>
      <c r="C18" s="157">
        <f>IF(D11="","-",+C17+1)</f>
        <v>2007</v>
      </c>
      <c r="D18" s="371">
        <v>383865</v>
      </c>
      <c r="E18" s="368">
        <v>7755</v>
      </c>
      <c r="F18" s="371">
        <v>376110</v>
      </c>
      <c r="G18" s="371">
        <v>59847</v>
      </c>
      <c r="H18" s="371">
        <v>59847</v>
      </c>
      <c r="I18" s="160">
        <f t="shared" si="0"/>
        <v>0</v>
      </c>
      <c r="J18" s="160"/>
      <c r="K18" s="338">
        <v>59847</v>
      </c>
      <c r="L18" s="162">
        <f t="shared" si="1"/>
        <v>0</v>
      </c>
      <c r="M18" s="338">
        <v>59847</v>
      </c>
      <c r="N18" s="162">
        <f t="shared" si="2"/>
        <v>0</v>
      </c>
      <c r="O18" s="162">
        <f t="shared" si="3"/>
        <v>0</v>
      </c>
      <c r="P18" s="4"/>
    </row>
    <row r="19" spans="2:16">
      <c r="B19" s="9"/>
      <c r="C19" s="157">
        <f>IF(D11="","-",+C18+1)</f>
        <v>2008</v>
      </c>
      <c r="D19" s="371">
        <v>376557</v>
      </c>
      <c r="E19" s="372">
        <v>7457</v>
      </c>
      <c r="F19" s="371">
        <v>369100</v>
      </c>
      <c r="G19" s="371">
        <v>62208</v>
      </c>
      <c r="H19" s="371">
        <v>62208</v>
      </c>
      <c r="I19" s="160">
        <f t="shared" si="0"/>
        <v>0</v>
      </c>
      <c r="J19" s="160"/>
      <c r="K19" s="338">
        <v>62208</v>
      </c>
      <c r="L19" s="162">
        <f t="shared" si="1"/>
        <v>0</v>
      </c>
      <c r="M19" s="338">
        <v>62208</v>
      </c>
      <c r="N19" s="162">
        <f t="shared" si="2"/>
        <v>0</v>
      </c>
      <c r="O19" s="162">
        <f t="shared" si="3"/>
        <v>0</v>
      </c>
      <c r="P19" s="4"/>
    </row>
    <row r="20" spans="2:16">
      <c r="B20" s="9"/>
      <c r="C20" s="157">
        <f>IF(D11="","-",+C19+1)</f>
        <v>2009</v>
      </c>
      <c r="D20" s="371">
        <v>368843</v>
      </c>
      <c r="E20" s="372">
        <v>7316</v>
      </c>
      <c r="F20" s="371">
        <v>361527</v>
      </c>
      <c r="G20" s="371">
        <v>62704</v>
      </c>
      <c r="H20" s="371">
        <v>62704</v>
      </c>
      <c r="I20" s="160">
        <f t="shared" si="0"/>
        <v>0</v>
      </c>
      <c r="J20" s="160"/>
      <c r="K20" s="338">
        <v>62704</v>
      </c>
      <c r="L20" s="162">
        <f t="shared" si="1"/>
        <v>0</v>
      </c>
      <c r="M20" s="338">
        <v>62704</v>
      </c>
      <c r="N20" s="162">
        <f t="shared" si="2"/>
        <v>0</v>
      </c>
      <c r="O20" s="162">
        <f t="shared" si="3"/>
        <v>0</v>
      </c>
      <c r="P20" s="4"/>
    </row>
    <row r="21" spans="2:16">
      <c r="B21" s="9"/>
      <c r="C21" s="157">
        <f>IF(D12="","-",+C20+1)</f>
        <v>2010</v>
      </c>
      <c r="D21" s="371">
        <v>361337</v>
      </c>
      <c r="E21" s="368">
        <v>6923.9642857142853</v>
      </c>
      <c r="F21" s="371">
        <v>354413.03571428574</v>
      </c>
      <c r="G21" s="368">
        <v>58064.529944767884</v>
      </c>
      <c r="H21" s="370">
        <v>58064.529944767884</v>
      </c>
      <c r="I21" s="160">
        <f t="shared" si="0"/>
        <v>0</v>
      </c>
      <c r="J21" s="160"/>
      <c r="K21" s="380">
        <f t="shared" ref="K21:K26" si="4">G21</f>
        <v>58064.529944767884</v>
      </c>
      <c r="L21" s="162">
        <f t="shared" si="1"/>
        <v>0</v>
      </c>
      <c r="M21" s="380">
        <f t="shared" ref="M21:M26" si="5">H21</f>
        <v>58064.529944767884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ref="B22:B72" si="6">IF(D22=F21,"","IU")</f>
        <v/>
      </c>
      <c r="C22" s="157">
        <f>IF(D11="","-",+C21+1)</f>
        <v>2011</v>
      </c>
      <c r="D22" s="371">
        <v>354413.03571428574</v>
      </c>
      <c r="E22" s="368">
        <v>7602.7843137254904</v>
      </c>
      <c r="F22" s="371">
        <v>346810.25140056026</v>
      </c>
      <c r="G22" s="368">
        <v>61893.620096156621</v>
      </c>
      <c r="H22" s="370">
        <v>61893.620096156621</v>
      </c>
      <c r="I22" s="160">
        <f t="shared" si="0"/>
        <v>0</v>
      </c>
      <c r="J22" s="160"/>
      <c r="K22" s="338">
        <f t="shared" si="4"/>
        <v>61893.620096156621</v>
      </c>
      <c r="L22" s="272">
        <f t="shared" si="1"/>
        <v>0</v>
      </c>
      <c r="M22" s="338">
        <f t="shared" si="5"/>
        <v>61893.620096156621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6"/>
        <v/>
      </c>
      <c r="C23" s="157">
        <f>IF(D11="","-",+C22+1)</f>
        <v>2012</v>
      </c>
      <c r="D23" s="371">
        <v>346810.25140056026</v>
      </c>
      <c r="E23" s="368">
        <v>7456.5769230769229</v>
      </c>
      <c r="F23" s="371">
        <v>339353.67447748332</v>
      </c>
      <c r="G23" s="368">
        <v>54696.893588724874</v>
      </c>
      <c r="H23" s="370">
        <v>54696.893588724874</v>
      </c>
      <c r="I23" s="160">
        <f t="shared" si="0"/>
        <v>0</v>
      </c>
      <c r="J23" s="160"/>
      <c r="K23" s="338">
        <f t="shared" si="4"/>
        <v>54696.893588724874</v>
      </c>
      <c r="L23" s="272">
        <f t="shared" si="1"/>
        <v>0</v>
      </c>
      <c r="M23" s="338">
        <f t="shared" si="5"/>
        <v>54696.893588724874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6"/>
        <v/>
      </c>
      <c r="C24" s="157">
        <f>IF(D11="","-",+C23+1)</f>
        <v>2013</v>
      </c>
      <c r="D24" s="371">
        <v>339353.67447748332</v>
      </c>
      <c r="E24" s="368">
        <v>7456.5769230769229</v>
      </c>
      <c r="F24" s="371">
        <v>331897.09755440638</v>
      </c>
      <c r="G24" s="368">
        <v>54853.72619811543</v>
      </c>
      <c r="H24" s="370">
        <v>54853.72619811543</v>
      </c>
      <c r="I24" s="160">
        <v>0</v>
      </c>
      <c r="J24" s="160"/>
      <c r="K24" s="338">
        <f t="shared" si="4"/>
        <v>54853.72619811543</v>
      </c>
      <c r="L24" s="272">
        <f t="shared" ref="L24:L29" si="7">IF(K24&lt;&gt;0,+G24-K24,0)</f>
        <v>0</v>
      </c>
      <c r="M24" s="338">
        <f t="shared" si="5"/>
        <v>54853.72619811543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6"/>
        <v/>
      </c>
      <c r="C25" s="157">
        <f>IF(D11="","-",+C24+1)</f>
        <v>2014</v>
      </c>
      <c r="D25" s="371">
        <v>331897.09755440638</v>
      </c>
      <c r="E25" s="368">
        <v>7456.5769230769229</v>
      </c>
      <c r="F25" s="371">
        <v>324440.52063132945</v>
      </c>
      <c r="G25" s="368">
        <v>52118.659182147123</v>
      </c>
      <c r="H25" s="370">
        <v>52118.659182147123</v>
      </c>
      <c r="I25" s="160">
        <v>0</v>
      </c>
      <c r="J25" s="160"/>
      <c r="K25" s="338">
        <f t="shared" si="4"/>
        <v>52118.659182147123</v>
      </c>
      <c r="L25" s="272">
        <f t="shared" si="7"/>
        <v>0</v>
      </c>
      <c r="M25" s="338">
        <f t="shared" si="5"/>
        <v>52118.659182147123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2015</v>
      </c>
      <c r="D26" s="371">
        <v>324440.52063132945</v>
      </c>
      <c r="E26" s="368">
        <v>7456.5769230769229</v>
      </c>
      <c r="F26" s="371">
        <v>316983.94370825251</v>
      </c>
      <c r="G26" s="368">
        <v>51159.678410482353</v>
      </c>
      <c r="H26" s="370">
        <v>51159.678410482353</v>
      </c>
      <c r="I26" s="160">
        <v>0</v>
      </c>
      <c r="J26" s="160"/>
      <c r="K26" s="338">
        <f t="shared" si="4"/>
        <v>51159.678410482353</v>
      </c>
      <c r="L26" s="272">
        <f t="shared" si="7"/>
        <v>0</v>
      </c>
      <c r="M26" s="338">
        <f t="shared" si="5"/>
        <v>51159.678410482353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2016</v>
      </c>
      <c r="D27" s="371">
        <v>316983.94370825251</v>
      </c>
      <c r="E27" s="368">
        <v>7456.5769230769229</v>
      </c>
      <c r="F27" s="371">
        <v>309527.36678517557</v>
      </c>
      <c r="G27" s="368">
        <v>48054.073071867475</v>
      </c>
      <c r="H27" s="370">
        <v>48054.073071867475</v>
      </c>
      <c r="I27" s="160">
        <f t="shared" si="0"/>
        <v>0</v>
      </c>
      <c r="J27" s="160"/>
      <c r="K27" s="338">
        <f>G27</f>
        <v>48054.073071867475</v>
      </c>
      <c r="L27" s="272">
        <f t="shared" si="7"/>
        <v>0</v>
      </c>
      <c r="M27" s="338">
        <f>H27</f>
        <v>48054.073071867475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2017</v>
      </c>
      <c r="D28" s="371">
        <v>309527.36678517557</v>
      </c>
      <c r="E28" s="368">
        <v>8429.173913043478</v>
      </c>
      <c r="F28" s="371">
        <v>301098.19287213212</v>
      </c>
      <c r="G28" s="368">
        <v>46747.127066320332</v>
      </c>
      <c r="H28" s="370">
        <v>46747.127066320332</v>
      </c>
      <c r="I28" s="160">
        <v>0</v>
      </c>
      <c r="J28" s="160"/>
      <c r="K28" s="338">
        <f>G28</f>
        <v>46747.127066320332</v>
      </c>
      <c r="L28" s="272">
        <f t="shared" si="7"/>
        <v>0</v>
      </c>
      <c r="M28" s="338">
        <f>H28</f>
        <v>46747.127066320332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6"/>
        <v/>
      </c>
      <c r="C29" s="157">
        <f>IF(D11="","-",+C28+1)</f>
        <v>2018</v>
      </c>
      <c r="D29" s="371">
        <v>301098.19287213212</v>
      </c>
      <c r="E29" s="368">
        <v>8616.4888888888891</v>
      </c>
      <c r="F29" s="371">
        <v>292481.70398324321</v>
      </c>
      <c r="G29" s="368">
        <v>44159.738725302646</v>
      </c>
      <c r="H29" s="370">
        <v>44159.738725302646</v>
      </c>
      <c r="I29" s="160">
        <f t="shared" si="0"/>
        <v>0</v>
      </c>
      <c r="J29" s="160"/>
      <c r="K29" s="338">
        <f>G29</f>
        <v>44159.738725302646</v>
      </c>
      <c r="L29" s="272">
        <f t="shared" si="7"/>
        <v>0</v>
      </c>
      <c r="M29" s="338">
        <f>H29</f>
        <v>44159.738725302646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6"/>
        <v/>
      </c>
      <c r="C30" s="157">
        <f>IF(D11="","-",+C29+1)</f>
        <v>2019</v>
      </c>
      <c r="D30" s="163">
        <f>IF(F29+SUM(E$17:E29)=D$10,F29,D$10-SUM(E$17:E29))</f>
        <v>292481.70398324321</v>
      </c>
      <c r="E30" s="164">
        <f>IF(+I14&lt;F29,I14,D30)</f>
        <v>9693.5499999999993</v>
      </c>
      <c r="F30" s="163">
        <f t="shared" ref="F30:F72" si="10">+D30-E30</f>
        <v>282788.15398324322</v>
      </c>
      <c r="G30" s="165">
        <f t="shared" ref="G30:G72" si="11">(D30+F30)/2*I$12+E30</f>
        <v>41809.897213779383</v>
      </c>
      <c r="H30" s="147">
        <f t="shared" ref="H30:H72" si="12">+(D30+F30)/2*I$13+E30</f>
        <v>41809.897213779383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2020</v>
      </c>
      <c r="D31" s="163">
        <f>IF(F30+SUM(E$17:E30)=D$10,F30,D$10-SUM(E$17:E30))</f>
        <v>282788.15398324322</v>
      </c>
      <c r="E31" s="164">
        <f>IF(+I14&lt;F30,I14,D31)</f>
        <v>9693.5499999999993</v>
      </c>
      <c r="F31" s="163">
        <f t="shared" si="10"/>
        <v>273094.60398324323</v>
      </c>
      <c r="G31" s="165">
        <f t="shared" si="11"/>
        <v>40727.548075465005</v>
      </c>
      <c r="H31" s="147">
        <f t="shared" si="12"/>
        <v>40727.548075465005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2021</v>
      </c>
      <c r="D32" s="163">
        <f>IF(F31+SUM(E$17:E31)=D$10,F31,D$10-SUM(E$17:E31))</f>
        <v>273094.60398324323</v>
      </c>
      <c r="E32" s="164">
        <f>IF(+I14&lt;F31,I14,D32)</f>
        <v>9693.5499999999993</v>
      </c>
      <c r="F32" s="163">
        <f t="shared" si="10"/>
        <v>263401.05398324324</v>
      </c>
      <c r="G32" s="165">
        <f t="shared" si="11"/>
        <v>39645.198937150621</v>
      </c>
      <c r="H32" s="147">
        <f t="shared" si="12"/>
        <v>39645.198937150621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2022</v>
      </c>
      <c r="D33" s="163">
        <f>IF(F32+SUM(E$17:E32)=D$10,F32,D$10-SUM(E$17:E32))</f>
        <v>263401.05398324324</v>
      </c>
      <c r="E33" s="164">
        <f>IF(+I14&lt;F32,I14,D33)</f>
        <v>9693.5499999999993</v>
      </c>
      <c r="F33" s="163">
        <f t="shared" si="10"/>
        <v>253707.50398324325</v>
      </c>
      <c r="G33" s="165">
        <f t="shared" si="11"/>
        <v>38562.849798836251</v>
      </c>
      <c r="H33" s="147">
        <f t="shared" si="12"/>
        <v>38562.849798836251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2023</v>
      </c>
      <c r="D34" s="163">
        <f>IF(F33+SUM(E$17:E33)=D$10,F33,D$10-SUM(E$17:E33))</f>
        <v>253707.50398324325</v>
      </c>
      <c r="E34" s="164">
        <f>IF(+I14&lt;F33,I14,D34)</f>
        <v>9693.5499999999993</v>
      </c>
      <c r="F34" s="163">
        <f t="shared" si="10"/>
        <v>244013.95398324326</v>
      </c>
      <c r="G34" s="165">
        <f t="shared" si="11"/>
        <v>37480.500660521866</v>
      </c>
      <c r="H34" s="147">
        <f t="shared" si="12"/>
        <v>37480.500660521866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2024</v>
      </c>
      <c r="D35" s="163">
        <f>IF(F34+SUM(E$17:E34)=D$10,F34,D$10-SUM(E$17:E34))</f>
        <v>244013.95398324326</v>
      </c>
      <c r="E35" s="164">
        <f>IF(+I14&lt;F34,I14,D35)</f>
        <v>9693.5499999999993</v>
      </c>
      <c r="F35" s="163">
        <f t="shared" si="10"/>
        <v>234320.40398324328</v>
      </c>
      <c r="G35" s="165">
        <f t="shared" si="11"/>
        <v>36398.151522207496</v>
      </c>
      <c r="H35" s="147">
        <f t="shared" si="12"/>
        <v>36398.151522207496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2025</v>
      </c>
      <c r="D36" s="163">
        <f>IF(F35+SUM(E$17:E35)=D$10,F35,D$10-SUM(E$17:E35))</f>
        <v>234320.40398324328</v>
      </c>
      <c r="E36" s="164">
        <f>IF(+I14&lt;F35,I14,D36)</f>
        <v>9693.5499999999993</v>
      </c>
      <c r="F36" s="163">
        <f t="shared" si="10"/>
        <v>224626.85398324329</v>
      </c>
      <c r="G36" s="165">
        <f t="shared" si="11"/>
        <v>35315.802383893111</v>
      </c>
      <c r="H36" s="147">
        <f t="shared" si="12"/>
        <v>35315.802383893111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2026</v>
      </c>
      <c r="D37" s="163">
        <f>IF(F36+SUM(E$17:E36)=D$10,F36,D$10-SUM(E$17:E36))</f>
        <v>224626.85398324329</v>
      </c>
      <c r="E37" s="164">
        <f>IF(+I14&lt;F36,I14,D37)</f>
        <v>9693.5499999999993</v>
      </c>
      <c r="F37" s="163">
        <f t="shared" si="10"/>
        <v>214933.3039832433</v>
      </c>
      <c r="G37" s="165">
        <f t="shared" si="11"/>
        <v>34233.453245578734</v>
      </c>
      <c r="H37" s="147">
        <f t="shared" si="12"/>
        <v>34233.453245578734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2027</v>
      </c>
      <c r="D38" s="163">
        <f>IF(F37+SUM(E$17:E37)=D$10,F37,D$10-SUM(E$17:E37))</f>
        <v>214933.3039832433</v>
      </c>
      <c r="E38" s="164">
        <f>IF(+I14&lt;F37,I14,D38)</f>
        <v>9693.5499999999993</v>
      </c>
      <c r="F38" s="163">
        <f t="shared" si="10"/>
        <v>205239.75398324331</v>
      </c>
      <c r="G38" s="165">
        <f t="shared" si="11"/>
        <v>33151.104107264357</v>
      </c>
      <c r="H38" s="147">
        <f t="shared" si="12"/>
        <v>33151.104107264357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2028</v>
      </c>
      <c r="D39" s="163">
        <f>IF(F38+SUM(E$17:E38)=D$10,F38,D$10-SUM(E$17:E38))</f>
        <v>205239.75398324331</v>
      </c>
      <c r="E39" s="164">
        <f>IF(+I14&lt;F38,I14,D39)</f>
        <v>9693.5499999999993</v>
      </c>
      <c r="F39" s="163">
        <f t="shared" si="10"/>
        <v>195546.20398324332</v>
      </c>
      <c r="G39" s="165">
        <f t="shared" si="11"/>
        <v>32068.754968949976</v>
      </c>
      <c r="H39" s="147">
        <f t="shared" si="12"/>
        <v>32068.754968949976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2029</v>
      </c>
      <c r="D40" s="163">
        <f>IF(F39+SUM(E$17:E39)=D$10,F39,D$10-SUM(E$17:E39))</f>
        <v>195546.20398324332</v>
      </c>
      <c r="E40" s="164">
        <f>IF(+I14&lt;F39,I14,D40)</f>
        <v>9693.5499999999993</v>
      </c>
      <c r="F40" s="163">
        <f t="shared" si="10"/>
        <v>185852.65398324333</v>
      </c>
      <c r="G40" s="165">
        <f t="shared" si="11"/>
        <v>30986.405830635598</v>
      </c>
      <c r="H40" s="147">
        <f t="shared" si="12"/>
        <v>30986.405830635598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2030</v>
      </c>
      <c r="D41" s="163">
        <f>IF(F40+SUM(E$17:E40)=D$10,F40,D$10-SUM(E$17:E40))</f>
        <v>185852.65398324333</v>
      </c>
      <c r="E41" s="164">
        <f>IF(+I14&lt;F40,I14,D41)</f>
        <v>9693.5499999999993</v>
      </c>
      <c r="F41" s="163">
        <f t="shared" si="10"/>
        <v>176159.10398324335</v>
      </c>
      <c r="G41" s="165">
        <f t="shared" si="11"/>
        <v>29904.056692321221</v>
      </c>
      <c r="H41" s="147">
        <f t="shared" si="12"/>
        <v>29904.056692321221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2031</v>
      </c>
      <c r="D42" s="163">
        <f>IF(F41+SUM(E$17:E41)=D$10,F41,D$10-SUM(E$17:E41))</f>
        <v>176159.10398324335</v>
      </c>
      <c r="E42" s="164">
        <f>IF(+I14&lt;F41,I14,D42)</f>
        <v>9693.5499999999993</v>
      </c>
      <c r="F42" s="163">
        <f t="shared" si="10"/>
        <v>166465.55398324336</v>
      </c>
      <c r="G42" s="165">
        <f t="shared" si="11"/>
        <v>28821.70755400684</v>
      </c>
      <c r="H42" s="147">
        <f t="shared" si="12"/>
        <v>28821.70755400684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2032</v>
      </c>
      <c r="D43" s="163">
        <f>IF(F42+SUM(E$17:E42)=D$10,F42,D$10-SUM(E$17:E42))</f>
        <v>166465.55398324336</v>
      </c>
      <c r="E43" s="164">
        <f>IF(+I14&lt;F42,I14,D43)</f>
        <v>9693.5499999999993</v>
      </c>
      <c r="F43" s="163">
        <f t="shared" si="10"/>
        <v>156772.00398324337</v>
      </c>
      <c r="G43" s="165">
        <f t="shared" si="11"/>
        <v>27739.358415692463</v>
      </c>
      <c r="H43" s="147">
        <f t="shared" si="12"/>
        <v>27739.358415692463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2033</v>
      </c>
      <c r="D44" s="163">
        <f>IF(F43+SUM(E$17:E43)=D$10,F43,D$10-SUM(E$17:E43))</f>
        <v>156772.00398324337</v>
      </c>
      <c r="E44" s="164">
        <f>IF(+I14&lt;F43,I14,D44)</f>
        <v>9693.5499999999993</v>
      </c>
      <c r="F44" s="163">
        <f t="shared" si="10"/>
        <v>147078.45398324338</v>
      </c>
      <c r="G44" s="165">
        <f t="shared" si="11"/>
        <v>26657.009277378085</v>
      </c>
      <c r="H44" s="147">
        <f t="shared" si="12"/>
        <v>26657.009277378085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2034</v>
      </c>
      <c r="D45" s="163">
        <f>IF(F44+SUM(E$17:E44)=D$10,F44,D$10-SUM(E$17:E44))</f>
        <v>147078.45398324338</v>
      </c>
      <c r="E45" s="164">
        <f>IF(+I14&lt;F44,I14,D45)</f>
        <v>9693.5499999999993</v>
      </c>
      <c r="F45" s="163">
        <f t="shared" si="10"/>
        <v>137384.90398324339</v>
      </c>
      <c r="G45" s="165">
        <f t="shared" si="11"/>
        <v>25574.660139063708</v>
      </c>
      <c r="H45" s="147">
        <f t="shared" si="12"/>
        <v>25574.660139063708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2035</v>
      </c>
      <c r="D46" s="163">
        <f>IF(F45+SUM(E$17:E45)=D$10,F45,D$10-SUM(E$17:E45))</f>
        <v>137384.90398324339</v>
      </c>
      <c r="E46" s="164">
        <f>IF(+I14&lt;F45,I14,D46)</f>
        <v>9693.5499999999993</v>
      </c>
      <c r="F46" s="163">
        <f t="shared" si="10"/>
        <v>127691.35398324339</v>
      </c>
      <c r="G46" s="165">
        <f t="shared" si="11"/>
        <v>24492.311000749327</v>
      </c>
      <c r="H46" s="147">
        <f t="shared" si="12"/>
        <v>24492.311000749327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2036</v>
      </c>
      <c r="D47" s="163">
        <f>IF(F46+SUM(E$17:E46)=D$10,F46,D$10-SUM(E$17:E46))</f>
        <v>127691.35398324339</v>
      </c>
      <c r="E47" s="164">
        <f>IF(+I14&lt;F46,I14,D47)</f>
        <v>9693.5499999999993</v>
      </c>
      <c r="F47" s="163">
        <f t="shared" si="10"/>
        <v>117997.80398324339</v>
      </c>
      <c r="G47" s="165">
        <f t="shared" si="11"/>
        <v>23409.961862434946</v>
      </c>
      <c r="H47" s="147">
        <f t="shared" si="12"/>
        <v>23409.961862434946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2037</v>
      </c>
      <c r="D48" s="163">
        <f>IF(F47+SUM(E$17:E47)=D$10,F47,D$10-SUM(E$17:E47))</f>
        <v>117997.80398324339</v>
      </c>
      <c r="E48" s="164">
        <f>IF(+I14&lt;F47,I14,D48)</f>
        <v>9693.5499999999993</v>
      </c>
      <c r="F48" s="163">
        <f t="shared" si="10"/>
        <v>108304.25398324338</v>
      </c>
      <c r="G48" s="165">
        <f t="shared" si="11"/>
        <v>22327.612724120569</v>
      </c>
      <c r="H48" s="147">
        <f t="shared" si="12"/>
        <v>22327.612724120569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2038</v>
      </c>
      <c r="D49" s="163">
        <f>IF(F48+SUM(E$17:E48)=D$10,F48,D$10-SUM(E$17:E48))</f>
        <v>108304.25398324338</v>
      </c>
      <c r="E49" s="164">
        <f>IF(+I14&lt;F48,I14,D49)</f>
        <v>9693.5499999999993</v>
      </c>
      <c r="F49" s="163">
        <f t="shared" si="10"/>
        <v>98610.70398324338</v>
      </c>
      <c r="G49" s="165">
        <f t="shared" si="11"/>
        <v>21245.263585806184</v>
      </c>
      <c r="H49" s="147">
        <f t="shared" si="12"/>
        <v>21245.263585806184</v>
      </c>
      <c r="I49" s="160">
        <f t="shared" ref="I49:I72" si="13">H49-G49</f>
        <v>0</v>
      </c>
      <c r="J49" s="160"/>
      <c r="K49" s="335"/>
      <c r="L49" s="162">
        <f t="shared" ref="L49:L72" si="14">IF(K49&lt;&gt;0,+G49-K49,0)</f>
        <v>0</v>
      </c>
      <c r="M49" s="335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si="6"/>
        <v/>
      </c>
      <c r="C50" s="157">
        <f>IF(D11="","-",+C49+1)</f>
        <v>2039</v>
      </c>
      <c r="D50" s="163">
        <f>IF(F49+SUM(E$17:E49)=D$10,F49,D$10-SUM(E$17:E49))</f>
        <v>98610.70398324338</v>
      </c>
      <c r="E50" s="164">
        <f>IF(+I14&lt;F49,I14,D50)</f>
        <v>9693.5499999999993</v>
      </c>
      <c r="F50" s="163">
        <f t="shared" si="10"/>
        <v>88917.153983243377</v>
      </c>
      <c r="G50" s="165">
        <f t="shared" si="11"/>
        <v>20162.914447491807</v>
      </c>
      <c r="H50" s="147">
        <f t="shared" si="12"/>
        <v>20162.914447491807</v>
      </c>
      <c r="I50" s="160">
        <f t="shared" si="13"/>
        <v>0</v>
      </c>
      <c r="J50" s="160"/>
      <c r="K50" s="335"/>
      <c r="L50" s="162">
        <f t="shared" si="14"/>
        <v>0</v>
      </c>
      <c r="M50" s="335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2040</v>
      </c>
      <c r="D51" s="163">
        <f>IF(F50+SUM(E$17:E50)=D$10,F50,D$10-SUM(E$17:E50))</f>
        <v>88917.153983243377</v>
      </c>
      <c r="E51" s="164">
        <f>IF(+I14&lt;F50,I14,D51)</f>
        <v>9693.5499999999993</v>
      </c>
      <c r="F51" s="163">
        <f t="shared" si="10"/>
        <v>79223.603983243374</v>
      </c>
      <c r="G51" s="165">
        <f t="shared" si="11"/>
        <v>19080.565309177422</v>
      </c>
      <c r="H51" s="147">
        <f t="shared" si="12"/>
        <v>19080.565309177422</v>
      </c>
      <c r="I51" s="160">
        <f t="shared" si="13"/>
        <v>0</v>
      </c>
      <c r="J51" s="160"/>
      <c r="K51" s="335"/>
      <c r="L51" s="162">
        <f t="shared" si="14"/>
        <v>0</v>
      </c>
      <c r="M51" s="335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2041</v>
      </c>
      <c r="D52" s="163">
        <f>IF(F51+SUM(E$17:E51)=D$10,F51,D$10-SUM(E$17:E51))</f>
        <v>79223.603983243374</v>
      </c>
      <c r="E52" s="164">
        <f>IF(+I14&lt;F51,I14,D52)</f>
        <v>9693.5499999999993</v>
      </c>
      <c r="F52" s="163">
        <f t="shared" si="10"/>
        <v>69530.053983243371</v>
      </c>
      <c r="G52" s="165">
        <f t="shared" si="11"/>
        <v>17998.216170863045</v>
      </c>
      <c r="H52" s="147">
        <f t="shared" si="12"/>
        <v>17998.216170863045</v>
      </c>
      <c r="I52" s="160">
        <f t="shared" si="13"/>
        <v>0</v>
      </c>
      <c r="J52" s="160"/>
      <c r="K52" s="335"/>
      <c r="L52" s="162">
        <f t="shared" si="14"/>
        <v>0</v>
      </c>
      <c r="M52" s="335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2042</v>
      </c>
      <c r="D53" s="163">
        <f>IF(F52+SUM(E$17:E52)=D$10,F52,D$10-SUM(E$17:E52))</f>
        <v>69530.053983243371</v>
      </c>
      <c r="E53" s="164">
        <f>IF(+I14&lt;F52,I14,D53)</f>
        <v>9693.5499999999993</v>
      </c>
      <c r="F53" s="163">
        <f t="shared" si="10"/>
        <v>59836.503983243369</v>
      </c>
      <c r="G53" s="165">
        <f t="shared" si="11"/>
        <v>16915.867032548664</v>
      </c>
      <c r="H53" s="147">
        <f t="shared" si="12"/>
        <v>16915.867032548664</v>
      </c>
      <c r="I53" s="160">
        <f t="shared" si="13"/>
        <v>0</v>
      </c>
      <c r="J53" s="160"/>
      <c r="K53" s="335"/>
      <c r="L53" s="162">
        <f t="shared" si="14"/>
        <v>0</v>
      </c>
      <c r="M53" s="335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2043</v>
      </c>
      <c r="D54" s="163">
        <f>IF(F53+SUM(E$17:E53)=D$10,F53,D$10-SUM(E$17:E53))</f>
        <v>59836.503983243369</v>
      </c>
      <c r="E54" s="164">
        <f>IF(+I14&lt;F53,I14,D54)</f>
        <v>9693.5499999999993</v>
      </c>
      <c r="F54" s="163">
        <f t="shared" si="10"/>
        <v>50142.953983243366</v>
      </c>
      <c r="G54" s="165">
        <f t="shared" si="11"/>
        <v>15833.517894234283</v>
      </c>
      <c r="H54" s="147">
        <f t="shared" si="12"/>
        <v>15833.517894234283</v>
      </c>
      <c r="I54" s="160">
        <f t="shared" si="13"/>
        <v>0</v>
      </c>
      <c r="J54" s="160"/>
      <c r="K54" s="335"/>
      <c r="L54" s="162">
        <f t="shared" si="14"/>
        <v>0</v>
      </c>
      <c r="M54" s="335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2044</v>
      </c>
      <c r="D55" s="163">
        <f>IF(F54+SUM(E$17:E54)=D$10,F54,D$10-SUM(E$17:E54))</f>
        <v>50142.953983243366</v>
      </c>
      <c r="E55" s="164">
        <f>IF(+I14&lt;F54,I14,D55)</f>
        <v>9693.5499999999993</v>
      </c>
      <c r="F55" s="163">
        <f t="shared" si="10"/>
        <v>40449.403983243363</v>
      </c>
      <c r="G55" s="165">
        <f t="shared" si="11"/>
        <v>14751.168755919902</v>
      </c>
      <c r="H55" s="147">
        <f t="shared" si="12"/>
        <v>14751.168755919902</v>
      </c>
      <c r="I55" s="160">
        <f t="shared" si="13"/>
        <v>0</v>
      </c>
      <c r="J55" s="160"/>
      <c r="K55" s="335"/>
      <c r="L55" s="162">
        <f t="shared" si="14"/>
        <v>0</v>
      </c>
      <c r="M55" s="335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2045</v>
      </c>
      <c r="D56" s="163">
        <f>IF(F55+SUM(E$17:E55)=D$10,F55,D$10-SUM(E$17:E55))</f>
        <v>40449.403983243363</v>
      </c>
      <c r="E56" s="164">
        <f>IF(+I14&lt;F55,I14,D56)</f>
        <v>9693.5499999999993</v>
      </c>
      <c r="F56" s="163">
        <f t="shared" si="10"/>
        <v>30755.853983243363</v>
      </c>
      <c r="G56" s="165">
        <f t="shared" si="11"/>
        <v>13668.819617605523</v>
      </c>
      <c r="H56" s="147">
        <f t="shared" si="12"/>
        <v>13668.819617605523</v>
      </c>
      <c r="I56" s="160">
        <f t="shared" si="13"/>
        <v>0</v>
      </c>
      <c r="J56" s="160"/>
      <c r="K56" s="335"/>
      <c r="L56" s="162">
        <f t="shared" si="14"/>
        <v>0</v>
      </c>
      <c r="M56" s="335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2046</v>
      </c>
      <c r="D57" s="163">
        <f>IF(F56+SUM(E$17:E56)=D$10,F56,D$10-SUM(E$17:E56))</f>
        <v>30755.853983243363</v>
      </c>
      <c r="E57" s="164">
        <f>IF(+I14&lt;F56,I14,D57)</f>
        <v>9693.5499999999993</v>
      </c>
      <c r="F57" s="163">
        <f t="shared" si="10"/>
        <v>21062.303983243364</v>
      </c>
      <c r="G57" s="165">
        <f t="shared" si="11"/>
        <v>12586.470479291143</v>
      </c>
      <c r="H57" s="147">
        <f t="shared" si="12"/>
        <v>12586.470479291143</v>
      </c>
      <c r="I57" s="160">
        <f t="shared" si="13"/>
        <v>0</v>
      </c>
      <c r="J57" s="160"/>
      <c r="K57" s="335"/>
      <c r="L57" s="162">
        <f t="shared" si="14"/>
        <v>0</v>
      </c>
      <c r="M57" s="335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2047</v>
      </c>
      <c r="D58" s="163">
        <f>IF(F57+SUM(E$17:E57)=D$10,F57,D$10-SUM(E$17:E57))</f>
        <v>21062.303983243364</v>
      </c>
      <c r="E58" s="164">
        <f>IF(+I14&lt;F57,I14,D58)</f>
        <v>9693.5499999999993</v>
      </c>
      <c r="F58" s="163">
        <f t="shared" si="10"/>
        <v>11368.753983243365</v>
      </c>
      <c r="G58" s="165">
        <f t="shared" si="11"/>
        <v>11504.121340976762</v>
      </c>
      <c r="H58" s="147">
        <f t="shared" si="12"/>
        <v>11504.121340976762</v>
      </c>
      <c r="I58" s="160">
        <f t="shared" si="13"/>
        <v>0</v>
      </c>
      <c r="J58" s="160"/>
      <c r="K58" s="335"/>
      <c r="L58" s="162">
        <f t="shared" si="14"/>
        <v>0</v>
      </c>
      <c r="M58" s="335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2048</v>
      </c>
      <c r="D59" s="163">
        <f>IF(F58+SUM(E$17:E58)=D$10,F58,D$10-SUM(E$17:E58))</f>
        <v>11368.753983243365</v>
      </c>
      <c r="E59" s="164">
        <f>IF(+I14&lt;F58,I14,D59)</f>
        <v>9693.5499999999993</v>
      </c>
      <c r="F59" s="163">
        <f t="shared" si="10"/>
        <v>1675.2039832433657</v>
      </c>
      <c r="G59" s="165">
        <f t="shared" si="11"/>
        <v>10421.772202662383</v>
      </c>
      <c r="H59" s="147">
        <f t="shared" si="12"/>
        <v>10421.772202662383</v>
      </c>
      <c r="I59" s="160">
        <f t="shared" si="13"/>
        <v>0</v>
      </c>
      <c r="J59" s="160"/>
      <c r="K59" s="335"/>
      <c r="L59" s="162">
        <f t="shared" si="14"/>
        <v>0</v>
      </c>
      <c r="M59" s="335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2049</v>
      </c>
      <c r="D60" s="163">
        <f>IF(F59+SUM(E$17:E59)=D$10,F59,D$10-SUM(E$17:E59))</f>
        <v>1675.2039832433657</v>
      </c>
      <c r="E60" s="164">
        <f>IF(+I14&lt;F59,I14,D60)</f>
        <v>1675.2039832433657</v>
      </c>
      <c r="F60" s="163">
        <f t="shared" si="10"/>
        <v>0</v>
      </c>
      <c r="G60" s="165">
        <f t="shared" si="11"/>
        <v>1768.7277999959626</v>
      </c>
      <c r="H60" s="147">
        <f t="shared" si="12"/>
        <v>1768.7277999959626</v>
      </c>
      <c r="I60" s="160">
        <f t="shared" si="13"/>
        <v>0</v>
      </c>
      <c r="J60" s="160"/>
      <c r="K60" s="335"/>
      <c r="L60" s="162">
        <f t="shared" si="14"/>
        <v>0</v>
      </c>
      <c r="M60" s="335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2050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0"/>
        <v>0</v>
      </c>
      <c r="G61" s="165">
        <f t="shared" si="11"/>
        <v>0</v>
      </c>
      <c r="H61" s="147">
        <f t="shared" si="12"/>
        <v>0</v>
      </c>
      <c r="I61" s="160">
        <f t="shared" si="13"/>
        <v>0</v>
      </c>
      <c r="J61" s="160"/>
      <c r="K61" s="335"/>
      <c r="L61" s="162">
        <f t="shared" si="14"/>
        <v>0</v>
      </c>
      <c r="M61" s="335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2051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0"/>
        <v>0</v>
      </c>
      <c r="G62" s="165">
        <f t="shared" si="11"/>
        <v>0</v>
      </c>
      <c r="H62" s="147">
        <f t="shared" si="12"/>
        <v>0</v>
      </c>
      <c r="I62" s="160">
        <f t="shared" si="13"/>
        <v>0</v>
      </c>
      <c r="J62" s="160"/>
      <c r="K62" s="335"/>
      <c r="L62" s="162">
        <f t="shared" si="14"/>
        <v>0</v>
      </c>
      <c r="M62" s="335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2052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0"/>
        <v>0</v>
      </c>
      <c r="G63" s="165">
        <f t="shared" si="11"/>
        <v>0</v>
      </c>
      <c r="H63" s="147">
        <f t="shared" si="12"/>
        <v>0</v>
      </c>
      <c r="I63" s="160">
        <f t="shared" si="13"/>
        <v>0</v>
      </c>
      <c r="J63" s="160"/>
      <c r="K63" s="335"/>
      <c r="L63" s="162">
        <f t="shared" si="14"/>
        <v>0</v>
      </c>
      <c r="M63" s="335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5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5"/>
      <c r="L64" s="162">
        <f t="shared" si="14"/>
        <v>0</v>
      </c>
      <c r="M64" s="335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5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5"/>
      <c r="L65" s="162">
        <f t="shared" si="14"/>
        <v>0</v>
      </c>
      <c r="M65" s="335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5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5"/>
      <c r="L66" s="162">
        <f t="shared" si="14"/>
        <v>0</v>
      </c>
      <c r="M66" s="335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5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5"/>
      <c r="L67" s="162">
        <f t="shared" si="14"/>
        <v>0</v>
      </c>
      <c r="M67" s="335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5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5"/>
      <c r="L68" s="162">
        <f t="shared" si="14"/>
        <v>0</v>
      </c>
      <c r="M68" s="335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5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5"/>
      <c r="L69" s="162">
        <f t="shared" si="14"/>
        <v>0</v>
      </c>
      <c r="M69" s="335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5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5"/>
      <c r="L70" s="162">
        <f t="shared" si="14"/>
        <v>0</v>
      </c>
      <c r="M70" s="335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5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5"/>
      <c r="L71" s="162">
        <f t="shared" si="14"/>
        <v>0</v>
      </c>
      <c r="M71" s="335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69">
        <f t="shared" si="11"/>
        <v>0</v>
      </c>
      <c r="H72" s="169">
        <f t="shared" si="12"/>
        <v>0</v>
      </c>
      <c r="I72" s="172">
        <f t="shared" si="13"/>
        <v>0</v>
      </c>
      <c r="J72" s="160"/>
      <c r="K72" s="336"/>
      <c r="L72" s="173">
        <f t="shared" si="14"/>
        <v>0</v>
      </c>
      <c r="M72" s="336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72</v>
      </c>
      <c r="D73" s="115"/>
      <c r="E73" s="115">
        <f>SUM(E17:E72)</f>
        <v>387741.99999999983</v>
      </c>
      <c r="F73" s="115"/>
      <c r="G73" s="115">
        <f>SUM(G17:G72)</f>
        <v>1441750.815330507</v>
      </c>
      <c r="H73" s="115">
        <f>SUM(H17:H72)</f>
        <v>1441750.815330507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5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46747.127066320332</v>
      </c>
      <c r="N87" s="202">
        <f>IF(J92&lt;D11,0,VLOOKUP(J92,C17:O72,11))</f>
        <v>46747.127066320332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47064.028489702585</v>
      </c>
      <c r="N88" s="204">
        <f>IF(J92&lt;D11,0,VLOOKUP(J92,C99:P154,7))</f>
        <v>47064.028489702585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Catoosa 138 kV Device (Cap. Bank)</v>
      </c>
      <c r="E89" s="1"/>
      <c r="F89" s="1"/>
      <c r="G89" s="1">
        <v>387742</v>
      </c>
      <c r="H89" s="1"/>
      <c r="I89" s="3"/>
      <c r="J89" s="3"/>
      <c r="K89" s="268"/>
      <c r="L89" s="269" t="s">
        <v>151</v>
      </c>
      <c r="M89" s="207">
        <f>+M88-M87</f>
        <v>316.90142338225269</v>
      </c>
      <c r="N89" s="207">
        <f>+N88-N87</f>
        <v>316.90142338225269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TP2005006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387742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2006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8429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96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2006</v>
      </c>
      <c r="D99" s="366">
        <f>IF(D93=C99,0,D92)</f>
        <v>0</v>
      </c>
      <c r="E99" s="368">
        <v>3801</v>
      </c>
      <c r="F99" s="371">
        <v>383941</v>
      </c>
      <c r="G99" s="373">
        <v>385841</v>
      </c>
      <c r="H99" s="374">
        <v>0</v>
      </c>
      <c r="I99" s="375">
        <v>0</v>
      </c>
      <c r="J99" s="162">
        <f t="shared" ref="J99:J130" si="17">+I99-H99</f>
        <v>0</v>
      </c>
      <c r="K99" s="162"/>
      <c r="L99" s="337">
        <v>0</v>
      </c>
      <c r="M99" s="176">
        <f>IF(L99&lt;&gt;0,+H99-L99,0)</f>
        <v>0</v>
      </c>
      <c r="N99" s="337">
        <v>0</v>
      </c>
      <c r="O99" s="161">
        <f>IF(N99&lt;&gt;0,+I99-N99,0)</f>
        <v>0</v>
      </c>
      <c r="P99" s="161">
        <f t="shared" ref="P99:P130" si="18">+O99-M99</f>
        <v>0</v>
      </c>
    </row>
    <row r="100" spans="1:16">
      <c r="B100" s="9" t="str">
        <f t="shared" ref="B100:B154" si="19">IF(D100=F99,"","IU")</f>
        <v/>
      </c>
      <c r="C100" s="157">
        <f>IF(D93="","-",+C99+1)</f>
        <v>2007</v>
      </c>
      <c r="D100" s="366">
        <v>383941</v>
      </c>
      <c r="E100" s="372">
        <v>7603</v>
      </c>
      <c r="F100" s="371">
        <v>376338</v>
      </c>
      <c r="G100" s="371">
        <v>380140</v>
      </c>
      <c r="H100" s="368">
        <v>66528</v>
      </c>
      <c r="I100" s="370">
        <v>66528</v>
      </c>
      <c r="J100" s="162">
        <f t="shared" si="17"/>
        <v>0</v>
      </c>
      <c r="K100" s="162"/>
      <c r="L100" s="338">
        <v>0</v>
      </c>
      <c r="M100" s="272">
        <f>IF(L100&lt;&gt;0,+H100-L100,0)</f>
        <v>0</v>
      </c>
      <c r="N100" s="338">
        <v>0</v>
      </c>
      <c r="O100" s="162">
        <f>IF(N100&lt;&gt;0,+I100-N100,0)</f>
        <v>0</v>
      </c>
      <c r="P100" s="162">
        <f t="shared" si="18"/>
        <v>0</v>
      </c>
    </row>
    <row r="101" spans="1:16">
      <c r="B101" s="9"/>
      <c r="C101" s="157">
        <f>IF(D93="","-",+C100+1)</f>
        <v>2008</v>
      </c>
      <c r="D101" s="366">
        <v>376159</v>
      </c>
      <c r="E101" s="372">
        <v>7316</v>
      </c>
      <c r="F101" s="371">
        <v>368843</v>
      </c>
      <c r="G101" s="371">
        <v>372501</v>
      </c>
      <c r="H101" s="368">
        <v>66486</v>
      </c>
      <c r="I101" s="370">
        <v>66486</v>
      </c>
      <c r="J101" s="162">
        <f t="shared" si="17"/>
        <v>0</v>
      </c>
      <c r="K101" s="162"/>
      <c r="L101" s="338">
        <v>66486</v>
      </c>
      <c r="M101" s="162">
        <f>IF(L101&lt;&gt;"",+H101-L101,0)</f>
        <v>0</v>
      </c>
      <c r="N101" s="338">
        <v>66486</v>
      </c>
      <c r="O101" s="162">
        <f>IF(N101&lt;&gt;"",+I101-N101,0)</f>
        <v>0</v>
      </c>
      <c r="P101" s="162">
        <f t="shared" si="18"/>
        <v>0</v>
      </c>
    </row>
    <row r="102" spans="1:16">
      <c r="B102" s="9"/>
      <c r="C102" s="157">
        <f>IF(D93="","-",+C101+1)</f>
        <v>2009</v>
      </c>
      <c r="D102" s="366">
        <v>369022</v>
      </c>
      <c r="E102" s="368">
        <v>6924</v>
      </c>
      <c r="F102" s="371">
        <v>362098</v>
      </c>
      <c r="G102" s="371">
        <v>365560</v>
      </c>
      <c r="H102" s="368">
        <v>60371.899487403767</v>
      </c>
      <c r="I102" s="370">
        <v>60371.899487403767</v>
      </c>
      <c r="J102" s="162">
        <f t="shared" si="17"/>
        <v>0</v>
      </c>
      <c r="K102" s="162"/>
      <c r="L102" s="338">
        <f t="shared" ref="L102:L107" si="20">H102</f>
        <v>60371.899487403767</v>
      </c>
      <c r="M102" s="272">
        <f t="shared" ref="M102:M133" si="21">IF(L102&lt;&gt;0,+H102-L102,0)</f>
        <v>0</v>
      </c>
      <c r="N102" s="338">
        <f t="shared" ref="N102:N107" si="22">I102</f>
        <v>60371.899487403767</v>
      </c>
      <c r="O102" s="162">
        <f t="shared" ref="O102:O133" si="23">IF(N102&lt;&gt;0,+I102-N102,0)</f>
        <v>0</v>
      </c>
      <c r="P102" s="162">
        <f t="shared" si="18"/>
        <v>0</v>
      </c>
    </row>
    <row r="103" spans="1:16">
      <c r="B103" s="9" t="str">
        <f t="shared" si="19"/>
        <v/>
      </c>
      <c r="C103" s="157">
        <f>IF(D93="","-",+C102+1)</f>
        <v>2010</v>
      </c>
      <c r="D103" s="366">
        <v>362098</v>
      </c>
      <c r="E103" s="368">
        <v>7603</v>
      </c>
      <c r="F103" s="371">
        <v>354495</v>
      </c>
      <c r="G103" s="371">
        <v>358296.5</v>
      </c>
      <c r="H103" s="368">
        <v>65222.531099646738</v>
      </c>
      <c r="I103" s="370">
        <v>65222.531099646738</v>
      </c>
      <c r="J103" s="162">
        <f t="shared" si="17"/>
        <v>0</v>
      </c>
      <c r="K103" s="162"/>
      <c r="L103" s="380">
        <f t="shared" si="20"/>
        <v>65222.531099646738</v>
      </c>
      <c r="M103" s="381">
        <f t="shared" si="21"/>
        <v>0</v>
      </c>
      <c r="N103" s="380">
        <f t="shared" si="22"/>
        <v>65222.531099646738</v>
      </c>
      <c r="O103" s="162">
        <f t="shared" si="23"/>
        <v>0</v>
      </c>
      <c r="P103" s="162">
        <f t="shared" si="18"/>
        <v>0</v>
      </c>
    </row>
    <row r="104" spans="1:16">
      <c r="B104" s="9" t="str">
        <f t="shared" si="19"/>
        <v/>
      </c>
      <c r="C104" s="157">
        <f>IF(D93="","-",+C103+1)</f>
        <v>2011</v>
      </c>
      <c r="D104" s="366">
        <v>354495</v>
      </c>
      <c r="E104" s="368">
        <v>7457</v>
      </c>
      <c r="F104" s="371">
        <v>347038</v>
      </c>
      <c r="G104" s="371">
        <v>350766.5</v>
      </c>
      <c r="H104" s="368">
        <v>56498.870276795831</v>
      </c>
      <c r="I104" s="370">
        <v>56498.870276795831</v>
      </c>
      <c r="J104" s="162">
        <f t="shared" si="17"/>
        <v>0</v>
      </c>
      <c r="K104" s="162"/>
      <c r="L104" s="380">
        <f t="shared" si="20"/>
        <v>56498.870276795831</v>
      </c>
      <c r="M104" s="381">
        <f t="shared" si="21"/>
        <v>0</v>
      </c>
      <c r="N104" s="380">
        <f t="shared" si="22"/>
        <v>56498.870276795831</v>
      </c>
      <c r="O104" s="162">
        <f t="shared" si="23"/>
        <v>0</v>
      </c>
      <c r="P104" s="162">
        <f t="shared" si="18"/>
        <v>0</v>
      </c>
    </row>
    <row r="105" spans="1:16">
      <c r="B105" s="9" t="str">
        <f t="shared" si="19"/>
        <v/>
      </c>
      <c r="C105" s="157">
        <f>IF(D93="","-",+C104+1)</f>
        <v>2012</v>
      </c>
      <c r="D105" s="366">
        <v>347038</v>
      </c>
      <c r="E105" s="368">
        <v>7457</v>
      </c>
      <c r="F105" s="371">
        <v>339581</v>
      </c>
      <c r="G105" s="371">
        <v>343309.5</v>
      </c>
      <c r="H105" s="368">
        <v>56843.953528154576</v>
      </c>
      <c r="I105" s="370">
        <v>56843.953528154576</v>
      </c>
      <c r="J105" s="162">
        <v>0</v>
      </c>
      <c r="K105" s="162"/>
      <c r="L105" s="380">
        <f t="shared" si="20"/>
        <v>56843.953528154576</v>
      </c>
      <c r="M105" s="381">
        <f>IF(L105&lt;&gt;0,+H105-L105,0)</f>
        <v>0</v>
      </c>
      <c r="N105" s="380">
        <f t="shared" si="22"/>
        <v>56843.953528154576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19"/>
        <v/>
      </c>
      <c r="C106" s="157">
        <f>IF(D93="","-",+C105+1)</f>
        <v>2013</v>
      </c>
      <c r="D106" s="366">
        <v>339581</v>
      </c>
      <c r="E106" s="368">
        <v>7457</v>
      </c>
      <c r="F106" s="371">
        <v>332124</v>
      </c>
      <c r="G106" s="371">
        <v>335852.5</v>
      </c>
      <c r="H106" s="368">
        <v>55799.472473591821</v>
      </c>
      <c r="I106" s="370">
        <v>55799.472473591821</v>
      </c>
      <c r="J106" s="162">
        <v>0</v>
      </c>
      <c r="K106" s="162"/>
      <c r="L106" s="380">
        <f t="shared" si="20"/>
        <v>55799.472473591821</v>
      </c>
      <c r="M106" s="381">
        <f>IF(L106&lt;&gt;0,+H106-L106,0)</f>
        <v>0</v>
      </c>
      <c r="N106" s="380">
        <f t="shared" si="22"/>
        <v>55799.472473591821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19"/>
        <v/>
      </c>
      <c r="C107" s="157">
        <f>IF(D93="","-",+C106+1)</f>
        <v>2014</v>
      </c>
      <c r="D107" s="366">
        <v>332124</v>
      </c>
      <c r="E107" s="368">
        <v>7457</v>
      </c>
      <c r="F107" s="371">
        <v>324667</v>
      </c>
      <c r="G107" s="371">
        <v>328395.5</v>
      </c>
      <c r="H107" s="368">
        <v>53628.064898886892</v>
      </c>
      <c r="I107" s="370">
        <v>53628.064898886892</v>
      </c>
      <c r="J107" s="162">
        <v>0</v>
      </c>
      <c r="K107" s="162"/>
      <c r="L107" s="380">
        <f t="shared" si="20"/>
        <v>53628.064898886892</v>
      </c>
      <c r="M107" s="381">
        <f>IF(L107&lt;&gt;0,+H107-L107,0)</f>
        <v>0</v>
      </c>
      <c r="N107" s="380">
        <f t="shared" si="22"/>
        <v>53628.064898886892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19"/>
        <v/>
      </c>
      <c r="C108" s="157">
        <f>IF(D93="","-",+C107+1)</f>
        <v>2015</v>
      </c>
      <c r="D108" s="366">
        <v>324667</v>
      </c>
      <c r="E108" s="368">
        <v>7457</v>
      </c>
      <c r="F108" s="371">
        <v>317210</v>
      </c>
      <c r="G108" s="371">
        <v>320938.5</v>
      </c>
      <c r="H108" s="368">
        <v>51246.477852296055</v>
      </c>
      <c r="I108" s="370">
        <v>51246.477852296055</v>
      </c>
      <c r="J108" s="162">
        <f t="shared" si="17"/>
        <v>0</v>
      </c>
      <c r="K108" s="162"/>
      <c r="L108" s="380">
        <f>H108</f>
        <v>51246.477852296055</v>
      </c>
      <c r="M108" s="381">
        <f>IF(L108&lt;&gt;0,+H108-L108,0)</f>
        <v>0</v>
      </c>
      <c r="N108" s="380">
        <f>I108</f>
        <v>51246.477852296055</v>
      </c>
      <c r="O108" s="162">
        <f>IF(N108&lt;&gt;0,+I108-N108,0)</f>
        <v>0</v>
      </c>
      <c r="P108" s="162">
        <f>+O108-M108</f>
        <v>0</v>
      </c>
    </row>
    <row r="109" spans="1:16">
      <c r="B109" s="9" t="str">
        <f t="shared" si="19"/>
        <v/>
      </c>
      <c r="C109" s="157">
        <f>IF(D93="","-",+C108+1)</f>
        <v>2016</v>
      </c>
      <c r="D109" s="366">
        <v>317210</v>
      </c>
      <c r="E109" s="368">
        <v>8429</v>
      </c>
      <c r="F109" s="371">
        <v>308781</v>
      </c>
      <c r="G109" s="371">
        <v>312995.5</v>
      </c>
      <c r="H109" s="368">
        <v>48779.04927680167</v>
      </c>
      <c r="I109" s="370">
        <v>48779.04927680167</v>
      </c>
      <c r="J109" s="162">
        <v>0</v>
      </c>
      <c r="K109" s="162"/>
      <c r="L109" s="380">
        <f>H109</f>
        <v>48779.04927680167</v>
      </c>
      <c r="M109" s="381">
        <f>IF(L109&lt;&gt;0,+H109-L109,0)</f>
        <v>0</v>
      </c>
      <c r="N109" s="380">
        <f>I109</f>
        <v>48779.04927680167</v>
      </c>
      <c r="O109" s="162">
        <f>IF(N109&lt;&gt;0,+I109-N109,0)</f>
        <v>0</v>
      </c>
      <c r="P109" s="162">
        <f>+O109-M109</f>
        <v>0</v>
      </c>
    </row>
    <row r="110" spans="1:16">
      <c r="B110" s="9" t="str">
        <f t="shared" si="19"/>
        <v/>
      </c>
      <c r="C110" s="157">
        <f>IF(D93="","-",+C109+1)</f>
        <v>2017</v>
      </c>
      <c r="D110" s="158">
        <f>IF(F109+SUM(E$99:E109)=D$92,F109,D$92-SUM(E$99:E109))</f>
        <v>308781</v>
      </c>
      <c r="E110" s="165">
        <f>IF(+J96&lt;F109,J96,D110)</f>
        <v>8429</v>
      </c>
      <c r="F110" s="163">
        <f t="shared" ref="F110:F130" si="24">+D110-E110</f>
        <v>300352</v>
      </c>
      <c r="G110" s="163">
        <f t="shared" ref="G110:G130" si="25">+(F110+D110)/2</f>
        <v>304566.5</v>
      </c>
      <c r="H110" s="167">
        <f t="shared" ref="H110:H154" si="26">+J$94*G110+E110</f>
        <v>47064.028489702585</v>
      </c>
      <c r="I110" s="317">
        <f t="shared" ref="I110:I154" si="27">+J$95*G110+E110</f>
        <v>47064.028489702585</v>
      </c>
      <c r="J110" s="162">
        <f t="shared" si="17"/>
        <v>0</v>
      </c>
      <c r="K110" s="162"/>
      <c r="L110" s="335"/>
      <c r="M110" s="162">
        <f t="shared" si="21"/>
        <v>0</v>
      </c>
      <c r="N110" s="335"/>
      <c r="O110" s="162">
        <f t="shared" si="23"/>
        <v>0</v>
      </c>
      <c r="P110" s="162">
        <f t="shared" si="18"/>
        <v>0</v>
      </c>
    </row>
    <row r="111" spans="1:16">
      <c r="B111" s="9" t="str">
        <f t="shared" si="19"/>
        <v/>
      </c>
      <c r="C111" s="157">
        <f>IF(D93="","-",+C110+1)</f>
        <v>2018</v>
      </c>
      <c r="D111" s="158">
        <f>IF(F110+SUM(E$99:E110)=D$92,F110,D$92-SUM(E$99:E110))</f>
        <v>300352</v>
      </c>
      <c r="E111" s="165">
        <f>IF(+J96&lt;F110,J96,D111)</f>
        <v>8429</v>
      </c>
      <c r="F111" s="163">
        <f t="shared" si="24"/>
        <v>291923</v>
      </c>
      <c r="G111" s="163">
        <f t="shared" si="25"/>
        <v>296137.5</v>
      </c>
      <c r="H111" s="167">
        <f t="shared" si="26"/>
        <v>45994.788585971539</v>
      </c>
      <c r="I111" s="317">
        <f t="shared" si="27"/>
        <v>45994.788585971539</v>
      </c>
      <c r="J111" s="162">
        <f t="shared" si="17"/>
        <v>0</v>
      </c>
      <c r="K111" s="162"/>
      <c r="L111" s="335"/>
      <c r="M111" s="162">
        <f t="shared" si="21"/>
        <v>0</v>
      </c>
      <c r="N111" s="335"/>
      <c r="O111" s="162">
        <f t="shared" si="23"/>
        <v>0</v>
      </c>
      <c r="P111" s="162">
        <f t="shared" si="18"/>
        <v>0</v>
      </c>
    </row>
    <row r="112" spans="1:16">
      <c r="B112" s="9" t="str">
        <f t="shared" si="19"/>
        <v/>
      </c>
      <c r="C112" s="157">
        <f>IF(D93="","-",+C111+1)</f>
        <v>2019</v>
      </c>
      <c r="D112" s="158">
        <f>IF(F111+SUM(E$99:E111)=D$92,F111,D$92-SUM(E$99:E111))</f>
        <v>291923</v>
      </c>
      <c r="E112" s="165">
        <f>IF(+J96&lt;F111,J96,D112)</f>
        <v>8429</v>
      </c>
      <c r="F112" s="163">
        <f t="shared" si="24"/>
        <v>283494</v>
      </c>
      <c r="G112" s="163">
        <f t="shared" si="25"/>
        <v>287708.5</v>
      </c>
      <c r="H112" s="167">
        <f t="shared" si="26"/>
        <v>44925.548682240486</v>
      </c>
      <c r="I112" s="317">
        <f t="shared" si="27"/>
        <v>44925.548682240486</v>
      </c>
      <c r="J112" s="162">
        <f t="shared" si="17"/>
        <v>0</v>
      </c>
      <c r="K112" s="162"/>
      <c r="L112" s="335"/>
      <c r="M112" s="162">
        <f t="shared" si="21"/>
        <v>0</v>
      </c>
      <c r="N112" s="335"/>
      <c r="O112" s="162">
        <f t="shared" si="23"/>
        <v>0</v>
      </c>
      <c r="P112" s="162">
        <f t="shared" si="18"/>
        <v>0</v>
      </c>
    </row>
    <row r="113" spans="2:16">
      <c r="B113" s="9" t="str">
        <f t="shared" si="19"/>
        <v/>
      </c>
      <c r="C113" s="157">
        <f>IF(D93="","-",+C112+1)</f>
        <v>2020</v>
      </c>
      <c r="D113" s="158">
        <f>IF(F112+SUM(E$99:E112)=D$92,F112,D$92-SUM(E$99:E112))</f>
        <v>283494</v>
      </c>
      <c r="E113" s="165">
        <f>IF(+J96&lt;F112,J96,D113)</f>
        <v>8429</v>
      </c>
      <c r="F113" s="163">
        <f t="shared" si="24"/>
        <v>275065</v>
      </c>
      <c r="G113" s="163">
        <f t="shared" si="25"/>
        <v>279279.5</v>
      </c>
      <c r="H113" s="167">
        <f t="shared" si="26"/>
        <v>43856.308778509432</v>
      </c>
      <c r="I113" s="317">
        <f t="shared" si="27"/>
        <v>43856.308778509432</v>
      </c>
      <c r="J113" s="162">
        <f t="shared" si="17"/>
        <v>0</v>
      </c>
      <c r="K113" s="162"/>
      <c r="L113" s="335"/>
      <c r="M113" s="162">
        <f t="shared" si="21"/>
        <v>0</v>
      </c>
      <c r="N113" s="335"/>
      <c r="O113" s="162">
        <f t="shared" si="23"/>
        <v>0</v>
      </c>
      <c r="P113" s="162">
        <f t="shared" si="18"/>
        <v>0</v>
      </c>
    </row>
    <row r="114" spans="2:16">
      <c r="B114" s="9" t="str">
        <f t="shared" si="19"/>
        <v/>
      </c>
      <c r="C114" s="157">
        <f>IF(D93="","-",+C113+1)</f>
        <v>2021</v>
      </c>
      <c r="D114" s="158">
        <f>IF(F113+SUM(E$99:E113)=D$92,F113,D$92-SUM(E$99:E113))</f>
        <v>275065</v>
      </c>
      <c r="E114" s="165">
        <f>IF(+J96&lt;F113,J96,D114)</f>
        <v>8429</v>
      </c>
      <c r="F114" s="163">
        <f t="shared" si="24"/>
        <v>266636</v>
      </c>
      <c r="G114" s="163">
        <f t="shared" si="25"/>
        <v>270850.5</v>
      </c>
      <c r="H114" s="167">
        <f t="shared" si="26"/>
        <v>42787.068874778386</v>
      </c>
      <c r="I114" s="317">
        <f t="shared" si="27"/>
        <v>42787.068874778386</v>
      </c>
      <c r="J114" s="162">
        <f t="shared" si="17"/>
        <v>0</v>
      </c>
      <c r="K114" s="162"/>
      <c r="L114" s="335"/>
      <c r="M114" s="162">
        <f t="shared" si="21"/>
        <v>0</v>
      </c>
      <c r="N114" s="335"/>
      <c r="O114" s="162">
        <f t="shared" si="23"/>
        <v>0</v>
      </c>
      <c r="P114" s="162">
        <f t="shared" si="18"/>
        <v>0</v>
      </c>
    </row>
    <row r="115" spans="2:16">
      <c r="B115" s="9" t="str">
        <f t="shared" si="19"/>
        <v/>
      </c>
      <c r="C115" s="157">
        <f>IF(D93="","-",+C114+1)</f>
        <v>2022</v>
      </c>
      <c r="D115" s="158">
        <f>IF(F114+SUM(E$99:E114)=D$92,F114,D$92-SUM(E$99:E114))</f>
        <v>266636</v>
      </c>
      <c r="E115" s="165">
        <f>IF(+J96&lt;F114,J96,D115)</f>
        <v>8429</v>
      </c>
      <c r="F115" s="163">
        <f t="shared" si="24"/>
        <v>258207</v>
      </c>
      <c r="G115" s="163">
        <f t="shared" si="25"/>
        <v>262421.5</v>
      </c>
      <c r="H115" s="167">
        <f t="shared" si="26"/>
        <v>41717.828971047333</v>
      </c>
      <c r="I115" s="317">
        <f t="shared" si="27"/>
        <v>41717.828971047333</v>
      </c>
      <c r="J115" s="162">
        <f t="shared" si="17"/>
        <v>0</v>
      </c>
      <c r="K115" s="162"/>
      <c r="L115" s="335"/>
      <c r="M115" s="162">
        <f t="shared" si="21"/>
        <v>0</v>
      </c>
      <c r="N115" s="335"/>
      <c r="O115" s="162">
        <f t="shared" si="23"/>
        <v>0</v>
      </c>
      <c r="P115" s="162">
        <f t="shared" si="18"/>
        <v>0</v>
      </c>
    </row>
    <row r="116" spans="2:16">
      <c r="B116" s="9" t="str">
        <f t="shared" si="19"/>
        <v/>
      </c>
      <c r="C116" s="157">
        <f>IF(D93="","-",+C115+1)</f>
        <v>2023</v>
      </c>
      <c r="D116" s="158">
        <f>IF(F115+SUM(E$99:E115)=D$92,F115,D$92-SUM(E$99:E115))</f>
        <v>258207</v>
      </c>
      <c r="E116" s="165">
        <f>IF(+J96&lt;F115,J96,D116)</f>
        <v>8429</v>
      </c>
      <c r="F116" s="163">
        <f t="shared" si="24"/>
        <v>249778</v>
      </c>
      <c r="G116" s="163">
        <f t="shared" si="25"/>
        <v>253992.5</v>
      </c>
      <c r="H116" s="167">
        <f t="shared" si="26"/>
        <v>40648.589067316279</v>
      </c>
      <c r="I116" s="317">
        <f t="shared" si="27"/>
        <v>40648.589067316279</v>
      </c>
      <c r="J116" s="162">
        <f t="shared" si="17"/>
        <v>0</v>
      </c>
      <c r="K116" s="162"/>
      <c r="L116" s="335"/>
      <c r="M116" s="162">
        <f t="shared" si="21"/>
        <v>0</v>
      </c>
      <c r="N116" s="335"/>
      <c r="O116" s="162">
        <f t="shared" si="23"/>
        <v>0</v>
      </c>
      <c r="P116" s="162">
        <f t="shared" si="18"/>
        <v>0</v>
      </c>
    </row>
    <row r="117" spans="2:16">
      <c r="B117" s="9" t="str">
        <f t="shared" si="19"/>
        <v/>
      </c>
      <c r="C117" s="157">
        <f>IF(D93="","-",+C116+1)</f>
        <v>2024</v>
      </c>
      <c r="D117" s="158">
        <f>IF(F116+SUM(E$99:E116)=D$92,F116,D$92-SUM(E$99:E116))</f>
        <v>249778</v>
      </c>
      <c r="E117" s="165">
        <f>IF(+J96&lt;F116,J96,D117)</f>
        <v>8429</v>
      </c>
      <c r="F117" s="163">
        <f t="shared" si="24"/>
        <v>241349</v>
      </c>
      <c r="G117" s="163">
        <f t="shared" si="25"/>
        <v>245563.5</v>
      </c>
      <c r="H117" s="167">
        <f t="shared" si="26"/>
        <v>39579.349163585226</v>
      </c>
      <c r="I117" s="317">
        <f t="shared" si="27"/>
        <v>39579.349163585226</v>
      </c>
      <c r="J117" s="162">
        <f t="shared" si="17"/>
        <v>0</v>
      </c>
      <c r="K117" s="162"/>
      <c r="L117" s="335"/>
      <c r="M117" s="162">
        <f t="shared" si="21"/>
        <v>0</v>
      </c>
      <c r="N117" s="335"/>
      <c r="O117" s="162">
        <f t="shared" si="23"/>
        <v>0</v>
      </c>
      <c r="P117" s="162">
        <f t="shared" si="18"/>
        <v>0</v>
      </c>
    </row>
    <row r="118" spans="2:16">
      <c r="B118" s="9" t="str">
        <f t="shared" si="19"/>
        <v/>
      </c>
      <c r="C118" s="157">
        <f>IF(D93="","-",+C117+1)</f>
        <v>2025</v>
      </c>
      <c r="D118" s="158">
        <f>IF(F117+SUM(E$99:E117)=D$92,F117,D$92-SUM(E$99:E117))</f>
        <v>241349</v>
      </c>
      <c r="E118" s="165">
        <f>IF(+J96&lt;F117,J96,D118)</f>
        <v>8429</v>
      </c>
      <c r="F118" s="163">
        <f t="shared" si="24"/>
        <v>232920</v>
      </c>
      <c r="G118" s="163">
        <f t="shared" si="25"/>
        <v>237134.5</v>
      </c>
      <c r="H118" s="167">
        <f t="shared" si="26"/>
        <v>38510.10925985418</v>
      </c>
      <c r="I118" s="317">
        <f t="shared" si="27"/>
        <v>38510.10925985418</v>
      </c>
      <c r="J118" s="162">
        <f t="shared" si="17"/>
        <v>0</v>
      </c>
      <c r="K118" s="162"/>
      <c r="L118" s="335"/>
      <c r="M118" s="162">
        <f t="shared" si="21"/>
        <v>0</v>
      </c>
      <c r="N118" s="335"/>
      <c r="O118" s="162">
        <f t="shared" si="23"/>
        <v>0</v>
      </c>
      <c r="P118" s="162">
        <f t="shared" si="18"/>
        <v>0</v>
      </c>
    </row>
    <row r="119" spans="2:16">
      <c r="B119" s="9" t="str">
        <f t="shared" si="19"/>
        <v/>
      </c>
      <c r="C119" s="157">
        <f>IF(D93="","-",+C118+1)</f>
        <v>2026</v>
      </c>
      <c r="D119" s="158">
        <f>IF(F118+SUM(E$99:E118)=D$92,F118,D$92-SUM(E$99:E118))</f>
        <v>232920</v>
      </c>
      <c r="E119" s="165">
        <f>IF(+J96&lt;F118,J96,D119)</f>
        <v>8429</v>
      </c>
      <c r="F119" s="163">
        <f t="shared" si="24"/>
        <v>224491</v>
      </c>
      <c r="G119" s="163">
        <f t="shared" si="25"/>
        <v>228705.5</v>
      </c>
      <c r="H119" s="167">
        <f t="shared" si="26"/>
        <v>37440.869356123134</v>
      </c>
      <c r="I119" s="317">
        <f t="shared" si="27"/>
        <v>37440.869356123134</v>
      </c>
      <c r="J119" s="162">
        <f t="shared" si="17"/>
        <v>0</v>
      </c>
      <c r="K119" s="162"/>
      <c r="L119" s="335"/>
      <c r="M119" s="162">
        <f t="shared" si="21"/>
        <v>0</v>
      </c>
      <c r="N119" s="335"/>
      <c r="O119" s="162">
        <f t="shared" si="23"/>
        <v>0</v>
      </c>
      <c r="P119" s="162">
        <f t="shared" si="18"/>
        <v>0</v>
      </c>
    </row>
    <row r="120" spans="2:16">
      <c r="B120" s="9" t="str">
        <f t="shared" si="19"/>
        <v/>
      </c>
      <c r="C120" s="157">
        <f>IF(D93="","-",+C119+1)</f>
        <v>2027</v>
      </c>
      <c r="D120" s="158">
        <f>IF(F119+SUM(E$99:E119)=D$92,F119,D$92-SUM(E$99:E119))</f>
        <v>224491</v>
      </c>
      <c r="E120" s="165">
        <f>IF(+J96&lt;F119,J96,D120)</f>
        <v>8429</v>
      </c>
      <c r="F120" s="163">
        <f t="shared" si="24"/>
        <v>216062</v>
      </c>
      <c r="G120" s="163">
        <f t="shared" si="25"/>
        <v>220276.5</v>
      </c>
      <c r="H120" s="167">
        <f t="shared" si="26"/>
        <v>36371.629452392081</v>
      </c>
      <c r="I120" s="317">
        <f t="shared" si="27"/>
        <v>36371.629452392081</v>
      </c>
      <c r="J120" s="162">
        <f t="shared" si="17"/>
        <v>0</v>
      </c>
      <c r="K120" s="162"/>
      <c r="L120" s="335"/>
      <c r="M120" s="162">
        <f t="shared" si="21"/>
        <v>0</v>
      </c>
      <c r="N120" s="335"/>
      <c r="O120" s="162">
        <f t="shared" si="23"/>
        <v>0</v>
      </c>
      <c r="P120" s="162">
        <f t="shared" si="18"/>
        <v>0</v>
      </c>
    </row>
    <row r="121" spans="2:16">
      <c r="B121" s="9" t="str">
        <f t="shared" si="19"/>
        <v/>
      </c>
      <c r="C121" s="157">
        <f>IF(D93="","-",+C120+1)</f>
        <v>2028</v>
      </c>
      <c r="D121" s="158">
        <f>IF(F120+SUM(E$99:E120)=D$92,F120,D$92-SUM(E$99:E120))</f>
        <v>216062</v>
      </c>
      <c r="E121" s="165">
        <f>IF(+J96&lt;F120,J96,D121)</f>
        <v>8429</v>
      </c>
      <c r="F121" s="163">
        <f t="shared" si="24"/>
        <v>207633</v>
      </c>
      <c r="G121" s="163">
        <f t="shared" si="25"/>
        <v>211847.5</v>
      </c>
      <c r="H121" s="167">
        <f t="shared" si="26"/>
        <v>35302.389548661027</v>
      </c>
      <c r="I121" s="317">
        <f t="shared" si="27"/>
        <v>35302.389548661027</v>
      </c>
      <c r="J121" s="162">
        <f t="shared" si="17"/>
        <v>0</v>
      </c>
      <c r="K121" s="162"/>
      <c r="L121" s="335"/>
      <c r="M121" s="162">
        <f t="shared" si="21"/>
        <v>0</v>
      </c>
      <c r="N121" s="335"/>
      <c r="O121" s="162">
        <f t="shared" si="23"/>
        <v>0</v>
      </c>
      <c r="P121" s="162">
        <f t="shared" si="18"/>
        <v>0</v>
      </c>
    </row>
    <row r="122" spans="2:16">
      <c r="B122" s="9" t="str">
        <f t="shared" si="19"/>
        <v/>
      </c>
      <c r="C122" s="157">
        <f>IF(D93="","-",+C121+1)</f>
        <v>2029</v>
      </c>
      <c r="D122" s="158">
        <f>IF(F121+SUM(E$99:E121)=D$92,F121,D$92-SUM(E$99:E121))</f>
        <v>207633</v>
      </c>
      <c r="E122" s="165">
        <f>IF(+J96&lt;F121,J96,D122)</f>
        <v>8429</v>
      </c>
      <c r="F122" s="163">
        <f t="shared" si="24"/>
        <v>199204</v>
      </c>
      <c r="G122" s="163">
        <f t="shared" si="25"/>
        <v>203418.5</v>
      </c>
      <c r="H122" s="167">
        <f t="shared" si="26"/>
        <v>34233.149644929974</v>
      </c>
      <c r="I122" s="317">
        <f t="shared" si="27"/>
        <v>34233.149644929974</v>
      </c>
      <c r="J122" s="162">
        <f t="shared" si="17"/>
        <v>0</v>
      </c>
      <c r="K122" s="162"/>
      <c r="L122" s="335"/>
      <c r="M122" s="162">
        <f t="shared" si="21"/>
        <v>0</v>
      </c>
      <c r="N122" s="335"/>
      <c r="O122" s="162">
        <f t="shared" si="23"/>
        <v>0</v>
      </c>
      <c r="P122" s="162">
        <f t="shared" si="18"/>
        <v>0</v>
      </c>
    </row>
    <row r="123" spans="2:16">
      <c r="B123" s="9" t="str">
        <f t="shared" si="19"/>
        <v/>
      </c>
      <c r="C123" s="157">
        <f>IF(D93="","-",+C122+1)</f>
        <v>2030</v>
      </c>
      <c r="D123" s="158">
        <f>IF(F122+SUM(E$99:E122)=D$92,F122,D$92-SUM(E$99:E122))</f>
        <v>199204</v>
      </c>
      <c r="E123" s="165">
        <f>IF(+J96&lt;F122,J96,D123)</f>
        <v>8429</v>
      </c>
      <c r="F123" s="163">
        <f t="shared" si="24"/>
        <v>190775</v>
      </c>
      <c r="G123" s="163">
        <f t="shared" si="25"/>
        <v>194989.5</v>
      </c>
      <c r="H123" s="167">
        <f t="shared" si="26"/>
        <v>33163.909741198921</v>
      </c>
      <c r="I123" s="317">
        <f t="shared" si="27"/>
        <v>33163.909741198921</v>
      </c>
      <c r="J123" s="162">
        <f t="shared" si="17"/>
        <v>0</v>
      </c>
      <c r="K123" s="162"/>
      <c r="L123" s="335"/>
      <c r="M123" s="162">
        <f t="shared" si="21"/>
        <v>0</v>
      </c>
      <c r="N123" s="335"/>
      <c r="O123" s="162">
        <f t="shared" si="23"/>
        <v>0</v>
      </c>
      <c r="P123" s="162">
        <f t="shared" si="18"/>
        <v>0</v>
      </c>
    </row>
    <row r="124" spans="2:16">
      <c r="B124" s="9" t="str">
        <f t="shared" si="19"/>
        <v/>
      </c>
      <c r="C124" s="157">
        <f>IF(D93="","-",+C123+1)</f>
        <v>2031</v>
      </c>
      <c r="D124" s="158">
        <f>IF(F123+SUM(E$99:E123)=D$92,F123,D$92-SUM(E$99:E123))</f>
        <v>190775</v>
      </c>
      <c r="E124" s="165">
        <f>IF(+J96&lt;F123,J96,D124)</f>
        <v>8429</v>
      </c>
      <c r="F124" s="163">
        <f t="shared" si="24"/>
        <v>182346</v>
      </c>
      <c r="G124" s="163">
        <f t="shared" si="25"/>
        <v>186560.5</v>
      </c>
      <c r="H124" s="167">
        <f t="shared" si="26"/>
        <v>32094.669837467874</v>
      </c>
      <c r="I124" s="317">
        <f t="shared" si="27"/>
        <v>32094.669837467874</v>
      </c>
      <c r="J124" s="162">
        <f t="shared" si="17"/>
        <v>0</v>
      </c>
      <c r="K124" s="162"/>
      <c r="L124" s="335"/>
      <c r="M124" s="162">
        <f t="shared" si="21"/>
        <v>0</v>
      </c>
      <c r="N124" s="335"/>
      <c r="O124" s="162">
        <f t="shared" si="23"/>
        <v>0</v>
      </c>
      <c r="P124" s="162">
        <f t="shared" si="18"/>
        <v>0</v>
      </c>
    </row>
    <row r="125" spans="2:16">
      <c r="B125" s="9" t="str">
        <f t="shared" si="19"/>
        <v/>
      </c>
      <c r="C125" s="157">
        <f>IF(D93="","-",+C124+1)</f>
        <v>2032</v>
      </c>
      <c r="D125" s="158">
        <f>IF(F124+SUM(E$99:E124)=D$92,F124,D$92-SUM(E$99:E124))</f>
        <v>182346</v>
      </c>
      <c r="E125" s="165">
        <f>IF(+J96&lt;F124,J96,D125)</f>
        <v>8429</v>
      </c>
      <c r="F125" s="163">
        <f t="shared" si="24"/>
        <v>173917</v>
      </c>
      <c r="G125" s="163">
        <f t="shared" si="25"/>
        <v>178131.5</v>
      </c>
      <c r="H125" s="167">
        <f t="shared" si="26"/>
        <v>31025.429933736825</v>
      </c>
      <c r="I125" s="317">
        <f t="shared" si="27"/>
        <v>31025.429933736825</v>
      </c>
      <c r="J125" s="162">
        <f t="shared" si="17"/>
        <v>0</v>
      </c>
      <c r="K125" s="162"/>
      <c r="L125" s="335"/>
      <c r="M125" s="162">
        <f t="shared" si="21"/>
        <v>0</v>
      </c>
      <c r="N125" s="335"/>
      <c r="O125" s="162">
        <f t="shared" si="23"/>
        <v>0</v>
      </c>
      <c r="P125" s="162">
        <f t="shared" si="18"/>
        <v>0</v>
      </c>
    </row>
    <row r="126" spans="2:16">
      <c r="B126" s="9" t="str">
        <f t="shared" si="19"/>
        <v/>
      </c>
      <c r="C126" s="157">
        <f>IF(D93="","-",+C125+1)</f>
        <v>2033</v>
      </c>
      <c r="D126" s="158">
        <f>IF(F125+SUM(E$99:E125)=D$92,F125,D$92-SUM(E$99:E125))</f>
        <v>173917</v>
      </c>
      <c r="E126" s="165">
        <f>IF(+J96&lt;F125,J96,D126)</f>
        <v>8429</v>
      </c>
      <c r="F126" s="163">
        <f t="shared" si="24"/>
        <v>165488</v>
      </c>
      <c r="G126" s="163">
        <f t="shared" si="25"/>
        <v>169702.5</v>
      </c>
      <c r="H126" s="167">
        <f t="shared" si="26"/>
        <v>29956.190030005771</v>
      </c>
      <c r="I126" s="317">
        <f t="shared" si="27"/>
        <v>29956.190030005771</v>
      </c>
      <c r="J126" s="162">
        <f t="shared" si="17"/>
        <v>0</v>
      </c>
      <c r="K126" s="162"/>
      <c r="L126" s="335"/>
      <c r="M126" s="162">
        <f t="shared" si="21"/>
        <v>0</v>
      </c>
      <c r="N126" s="335"/>
      <c r="O126" s="162">
        <f t="shared" si="23"/>
        <v>0</v>
      </c>
      <c r="P126" s="162">
        <f t="shared" si="18"/>
        <v>0</v>
      </c>
    </row>
    <row r="127" spans="2:16">
      <c r="B127" s="9" t="str">
        <f t="shared" si="19"/>
        <v/>
      </c>
      <c r="C127" s="157">
        <f>IF(D93="","-",+C126+1)</f>
        <v>2034</v>
      </c>
      <c r="D127" s="158">
        <f>IF(F126+SUM(E$99:E126)=D$92,F126,D$92-SUM(E$99:E126))</f>
        <v>165488</v>
      </c>
      <c r="E127" s="165">
        <f>IF(+J96&lt;F126,J96,D127)</f>
        <v>8429</v>
      </c>
      <c r="F127" s="163">
        <f t="shared" si="24"/>
        <v>157059</v>
      </c>
      <c r="G127" s="163">
        <f t="shared" si="25"/>
        <v>161273.5</v>
      </c>
      <c r="H127" s="167">
        <f t="shared" si="26"/>
        <v>28886.950126274722</v>
      </c>
      <c r="I127" s="317">
        <f t="shared" si="27"/>
        <v>28886.950126274722</v>
      </c>
      <c r="J127" s="162">
        <f t="shared" si="17"/>
        <v>0</v>
      </c>
      <c r="K127" s="162"/>
      <c r="L127" s="335"/>
      <c r="M127" s="162">
        <f t="shared" si="21"/>
        <v>0</v>
      </c>
      <c r="N127" s="335"/>
      <c r="O127" s="162">
        <f t="shared" si="23"/>
        <v>0</v>
      </c>
      <c r="P127" s="162">
        <f t="shared" si="18"/>
        <v>0</v>
      </c>
    </row>
    <row r="128" spans="2:16">
      <c r="B128" s="9" t="str">
        <f t="shared" si="19"/>
        <v/>
      </c>
      <c r="C128" s="157">
        <f>IF(D93="","-",+C127+1)</f>
        <v>2035</v>
      </c>
      <c r="D128" s="158">
        <f>IF(F127+SUM(E$99:E127)=D$92,F127,D$92-SUM(E$99:E127))</f>
        <v>157059</v>
      </c>
      <c r="E128" s="165">
        <f>IF(+J96&lt;F127,J96,D128)</f>
        <v>8429</v>
      </c>
      <c r="F128" s="163">
        <f t="shared" si="24"/>
        <v>148630</v>
      </c>
      <c r="G128" s="163">
        <f t="shared" si="25"/>
        <v>152844.5</v>
      </c>
      <c r="H128" s="167">
        <f t="shared" si="26"/>
        <v>27817.710222543672</v>
      </c>
      <c r="I128" s="317">
        <f t="shared" si="27"/>
        <v>27817.710222543672</v>
      </c>
      <c r="J128" s="162">
        <f t="shared" si="17"/>
        <v>0</v>
      </c>
      <c r="K128" s="162"/>
      <c r="L128" s="335"/>
      <c r="M128" s="162">
        <f t="shared" si="21"/>
        <v>0</v>
      </c>
      <c r="N128" s="335"/>
      <c r="O128" s="162">
        <f t="shared" si="23"/>
        <v>0</v>
      </c>
      <c r="P128" s="162">
        <f t="shared" si="18"/>
        <v>0</v>
      </c>
    </row>
    <row r="129" spans="2:16">
      <c r="B129" s="9" t="str">
        <f t="shared" si="19"/>
        <v/>
      </c>
      <c r="C129" s="157">
        <f>IF(D93="","-",+C128+1)</f>
        <v>2036</v>
      </c>
      <c r="D129" s="158">
        <f>IF(F128+SUM(E$99:E128)=D$92,F128,D$92-SUM(E$99:E128))</f>
        <v>148630</v>
      </c>
      <c r="E129" s="165">
        <f>IF(+J96&lt;F128,J96,D129)</f>
        <v>8429</v>
      </c>
      <c r="F129" s="163">
        <f t="shared" si="24"/>
        <v>140201</v>
      </c>
      <c r="G129" s="163">
        <f t="shared" si="25"/>
        <v>144415.5</v>
      </c>
      <c r="H129" s="167">
        <f t="shared" si="26"/>
        <v>26748.470318812619</v>
      </c>
      <c r="I129" s="317">
        <f t="shared" si="27"/>
        <v>26748.470318812619</v>
      </c>
      <c r="J129" s="162">
        <f t="shared" si="17"/>
        <v>0</v>
      </c>
      <c r="K129" s="162"/>
      <c r="L129" s="335"/>
      <c r="M129" s="162">
        <f t="shared" si="21"/>
        <v>0</v>
      </c>
      <c r="N129" s="335"/>
      <c r="O129" s="162">
        <f t="shared" si="23"/>
        <v>0</v>
      </c>
      <c r="P129" s="162">
        <f t="shared" si="18"/>
        <v>0</v>
      </c>
    </row>
    <row r="130" spans="2:16">
      <c r="B130" s="9" t="str">
        <f t="shared" si="19"/>
        <v/>
      </c>
      <c r="C130" s="157">
        <f>IF(D93="","-",+C129+1)</f>
        <v>2037</v>
      </c>
      <c r="D130" s="158">
        <f>IF(F129+SUM(E$99:E129)=D$92,F129,D$92-SUM(E$99:E129))</f>
        <v>140201</v>
      </c>
      <c r="E130" s="165">
        <f>IF(+J96&lt;F129,J96,D130)</f>
        <v>8429</v>
      </c>
      <c r="F130" s="163">
        <f t="shared" si="24"/>
        <v>131772</v>
      </c>
      <c r="G130" s="163">
        <f t="shared" si="25"/>
        <v>135986.5</v>
      </c>
      <c r="H130" s="167">
        <f t="shared" si="26"/>
        <v>25679.230415081569</v>
      </c>
      <c r="I130" s="317">
        <f t="shared" si="27"/>
        <v>25679.230415081569</v>
      </c>
      <c r="J130" s="162">
        <f t="shared" si="17"/>
        <v>0</v>
      </c>
      <c r="K130" s="162"/>
      <c r="L130" s="335"/>
      <c r="M130" s="162">
        <f t="shared" si="21"/>
        <v>0</v>
      </c>
      <c r="N130" s="335"/>
      <c r="O130" s="162">
        <f t="shared" si="23"/>
        <v>0</v>
      </c>
      <c r="P130" s="162">
        <f t="shared" si="18"/>
        <v>0</v>
      </c>
    </row>
    <row r="131" spans="2:16">
      <c r="B131" s="9" t="str">
        <f t="shared" si="19"/>
        <v/>
      </c>
      <c r="C131" s="157">
        <f>IF(D93="","-",+C130+1)</f>
        <v>2038</v>
      </c>
      <c r="D131" s="158">
        <f>IF(F130+SUM(E$99:E130)=D$92,F130,D$92-SUM(E$99:E130))</f>
        <v>131772</v>
      </c>
      <c r="E131" s="165">
        <f>IF(+J96&lt;F130,J96,D131)</f>
        <v>8429</v>
      </c>
      <c r="F131" s="163">
        <f t="shared" ref="F131:F154" si="28">+D131-E131</f>
        <v>123343</v>
      </c>
      <c r="G131" s="163">
        <f t="shared" ref="G131:G154" si="29">+(F131+D131)/2</f>
        <v>127557.5</v>
      </c>
      <c r="H131" s="167">
        <f t="shared" si="26"/>
        <v>24609.990511350519</v>
      </c>
      <c r="I131" s="317">
        <f t="shared" si="27"/>
        <v>24609.990511350519</v>
      </c>
      <c r="J131" s="162">
        <f t="shared" ref="J131:J154" si="30">+I131-H131</f>
        <v>0</v>
      </c>
      <c r="K131" s="162"/>
      <c r="L131" s="335"/>
      <c r="M131" s="162">
        <f t="shared" si="21"/>
        <v>0</v>
      </c>
      <c r="N131" s="335"/>
      <c r="O131" s="162">
        <f t="shared" si="23"/>
        <v>0</v>
      </c>
      <c r="P131" s="162">
        <f t="shared" ref="P131:P154" si="31">+O131-M131</f>
        <v>0</v>
      </c>
    </row>
    <row r="132" spans="2:16">
      <c r="B132" s="9" t="str">
        <f t="shared" si="19"/>
        <v/>
      </c>
      <c r="C132" s="157">
        <f>IF(D93="","-",+C131+1)</f>
        <v>2039</v>
      </c>
      <c r="D132" s="158">
        <f>IF(F131+SUM(E$99:E131)=D$92,F131,D$92-SUM(E$99:E131))</f>
        <v>123343</v>
      </c>
      <c r="E132" s="165">
        <f>IF(+J96&lt;F131,J96,D132)</f>
        <v>8429</v>
      </c>
      <c r="F132" s="163">
        <f t="shared" si="28"/>
        <v>114914</v>
      </c>
      <c r="G132" s="163">
        <f t="shared" si="29"/>
        <v>119128.5</v>
      </c>
      <c r="H132" s="167">
        <f t="shared" si="26"/>
        <v>23540.75060761947</v>
      </c>
      <c r="I132" s="317">
        <f t="shared" si="27"/>
        <v>23540.75060761947</v>
      </c>
      <c r="J132" s="162">
        <f t="shared" si="30"/>
        <v>0</v>
      </c>
      <c r="K132" s="162"/>
      <c r="L132" s="335"/>
      <c r="M132" s="162">
        <f t="shared" si="21"/>
        <v>0</v>
      </c>
      <c r="N132" s="335"/>
      <c r="O132" s="162">
        <f t="shared" si="23"/>
        <v>0</v>
      </c>
      <c r="P132" s="162">
        <f t="shared" si="31"/>
        <v>0</v>
      </c>
    </row>
    <row r="133" spans="2:16">
      <c r="B133" s="9" t="str">
        <f t="shared" si="19"/>
        <v/>
      </c>
      <c r="C133" s="157">
        <f>IF(D93="","-",+C132+1)</f>
        <v>2040</v>
      </c>
      <c r="D133" s="158">
        <f>IF(F132+SUM(E$99:E132)=D$92,F132,D$92-SUM(E$99:E132))</f>
        <v>114914</v>
      </c>
      <c r="E133" s="165">
        <f>IF(+J96&lt;F132,J96,D133)</f>
        <v>8429</v>
      </c>
      <c r="F133" s="163">
        <f t="shared" si="28"/>
        <v>106485</v>
      </c>
      <c r="G133" s="163">
        <f t="shared" si="29"/>
        <v>110699.5</v>
      </c>
      <c r="H133" s="167">
        <f t="shared" si="26"/>
        <v>22471.510703888416</v>
      </c>
      <c r="I133" s="317">
        <f t="shared" si="27"/>
        <v>22471.510703888416</v>
      </c>
      <c r="J133" s="162">
        <f t="shared" si="30"/>
        <v>0</v>
      </c>
      <c r="K133" s="162"/>
      <c r="L133" s="335"/>
      <c r="M133" s="162">
        <f t="shared" si="21"/>
        <v>0</v>
      </c>
      <c r="N133" s="335"/>
      <c r="O133" s="162">
        <f t="shared" si="23"/>
        <v>0</v>
      </c>
      <c r="P133" s="162">
        <f t="shared" si="31"/>
        <v>0</v>
      </c>
    </row>
    <row r="134" spans="2:16">
      <c r="B134" s="9" t="str">
        <f t="shared" si="19"/>
        <v/>
      </c>
      <c r="C134" s="157">
        <f>IF(D93="","-",+C133+1)</f>
        <v>2041</v>
      </c>
      <c r="D134" s="158">
        <f>IF(F133+SUM(E$99:E133)=D$92,F133,D$92-SUM(E$99:E133))</f>
        <v>106485</v>
      </c>
      <c r="E134" s="165">
        <f>IF(+J96&lt;F133,J96,D134)</f>
        <v>8429</v>
      </c>
      <c r="F134" s="163">
        <f t="shared" si="28"/>
        <v>98056</v>
      </c>
      <c r="G134" s="163">
        <f t="shared" si="29"/>
        <v>102270.5</v>
      </c>
      <c r="H134" s="167">
        <f t="shared" si="26"/>
        <v>21402.270800157366</v>
      </c>
      <c r="I134" s="317">
        <f t="shared" si="27"/>
        <v>21402.270800157366</v>
      </c>
      <c r="J134" s="162">
        <f t="shared" si="30"/>
        <v>0</v>
      </c>
      <c r="K134" s="162"/>
      <c r="L134" s="335"/>
      <c r="M134" s="162">
        <f t="shared" ref="M134:M154" si="32">IF(L134&lt;&gt;0,+H134-L134,0)</f>
        <v>0</v>
      </c>
      <c r="N134" s="335"/>
      <c r="O134" s="162">
        <f t="shared" ref="O134:O154" si="33">IF(N134&lt;&gt;0,+I134-N134,0)</f>
        <v>0</v>
      </c>
      <c r="P134" s="162">
        <f t="shared" si="31"/>
        <v>0</v>
      </c>
    </row>
    <row r="135" spans="2:16">
      <c r="B135" s="9" t="str">
        <f t="shared" si="19"/>
        <v/>
      </c>
      <c r="C135" s="157">
        <f>IF(D93="","-",+C134+1)</f>
        <v>2042</v>
      </c>
      <c r="D135" s="158">
        <f>IF(F134+SUM(E$99:E134)=D$92,F134,D$92-SUM(E$99:E134))</f>
        <v>98056</v>
      </c>
      <c r="E135" s="165">
        <f>IF(+J96&lt;F134,J96,D135)</f>
        <v>8429</v>
      </c>
      <c r="F135" s="163">
        <f t="shared" si="28"/>
        <v>89627</v>
      </c>
      <c r="G135" s="163">
        <f t="shared" si="29"/>
        <v>93841.5</v>
      </c>
      <c r="H135" s="167">
        <f t="shared" si="26"/>
        <v>20333.030896426317</v>
      </c>
      <c r="I135" s="317">
        <f t="shared" si="27"/>
        <v>20333.030896426317</v>
      </c>
      <c r="J135" s="162">
        <f t="shared" si="30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1"/>
        <v>0</v>
      </c>
    </row>
    <row r="136" spans="2:16">
      <c r="B136" s="9" t="str">
        <f t="shared" si="19"/>
        <v/>
      </c>
      <c r="C136" s="157">
        <f>IF(D93="","-",+C135+1)</f>
        <v>2043</v>
      </c>
      <c r="D136" s="158">
        <f>IF(F135+SUM(E$99:E135)=D$92,F135,D$92-SUM(E$99:E135))</f>
        <v>89627</v>
      </c>
      <c r="E136" s="165">
        <f>IF(+J96&lt;F135,J96,D136)</f>
        <v>8429</v>
      </c>
      <c r="F136" s="163">
        <f t="shared" si="28"/>
        <v>81198</v>
      </c>
      <c r="G136" s="163">
        <f t="shared" si="29"/>
        <v>85412.5</v>
      </c>
      <c r="H136" s="167">
        <f t="shared" si="26"/>
        <v>19263.790992695263</v>
      </c>
      <c r="I136" s="317">
        <f t="shared" si="27"/>
        <v>19263.790992695263</v>
      </c>
      <c r="J136" s="162">
        <f t="shared" si="30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1"/>
        <v>0</v>
      </c>
    </row>
    <row r="137" spans="2:16">
      <c r="B137" s="9" t="str">
        <f t="shared" si="19"/>
        <v/>
      </c>
      <c r="C137" s="157">
        <f>IF(D93="","-",+C136+1)</f>
        <v>2044</v>
      </c>
      <c r="D137" s="158">
        <f>IF(F136+SUM(E$99:E136)=D$92,F136,D$92-SUM(E$99:E136))</f>
        <v>81198</v>
      </c>
      <c r="E137" s="165">
        <f>IF(+J96&lt;F136,J96,D137)</f>
        <v>8429</v>
      </c>
      <c r="F137" s="163">
        <f t="shared" si="28"/>
        <v>72769</v>
      </c>
      <c r="G137" s="163">
        <f t="shared" si="29"/>
        <v>76983.5</v>
      </c>
      <c r="H137" s="167">
        <f t="shared" si="26"/>
        <v>18194.551088964214</v>
      </c>
      <c r="I137" s="317">
        <f t="shared" si="27"/>
        <v>18194.551088964214</v>
      </c>
      <c r="J137" s="162">
        <f t="shared" si="30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1"/>
        <v>0</v>
      </c>
    </row>
    <row r="138" spans="2:16">
      <c r="B138" s="9" t="str">
        <f t="shared" si="19"/>
        <v/>
      </c>
      <c r="C138" s="157">
        <f>IF(D93="","-",+C137+1)</f>
        <v>2045</v>
      </c>
      <c r="D138" s="158">
        <f>IF(F137+SUM(E$99:E137)=D$92,F137,D$92-SUM(E$99:E137))</f>
        <v>72769</v>
      </c>
      <c r="E138" s="165">
        <f>IF(+J96&lt;F137,J96,D138)</f>
        <v>8429</v>
      </c>
      <c r="F138" s="163">
        <f t="shared" si="28"/>
        <v>64340</v>
      </c>
      <c r="G138" s="163">
        <f t="shared" si="29"/>
        <v>68554.5</v>
      </c>
      <c r="H138" s="167">
        <f t="shared" si="26"/>
        <v>17125.311185233164</v>
      </c>
      <c r="I138" s="317">
        <f t="shared" si="27"/>
        <v>17125.311185233164</v>
      </c>
      <c r="J138" s="162">
        <f t="shared" si="30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1"/>
        <v>0</v>
      </c>
    </row>
    <row r="139" spans="2:16">
      <c r="B139" s="9" t="str">
        <f t="shared" si="19"/>
        <v/>
      </c>
      <c r="C139" s="157">
        <f>IF(D93="","-",+C138+1)</f>
        <v>2046</v>
      </c>
      <c r="D139" s="158">
        <f>IF(F138+SUM(E$99:E138)=D$92,F138,D$92-SUM(E$99:E138))</f>
        <v>64340</v>
      </c>
      <c r="E139" s="165">
        <f>IF(+J96&lt;F138,J96,D139)</f>
        <v>8429</v>
      </c>
      <c r="F139" s="163">
        <f t="shared" si="28"/>
        <v>55911</v>
      </c>
      <c r="G139" s="163">
        <f t="shared" si="29"/>
        <v>60125.5</v>
      </c>
      <c r="H139" s="167">
        <f t="shared" si="26"/>
        <v>16056.071281502111</v>
      </c>
      <c r="I139" s="317">
        <f t="shared" si="27"/>
        <v>16056.071281502111</v>
      </c>
      <c r="J139" s="162">
        <f t="shared" si="30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1"/>
        <v>0</v>
      </c>
    </row>
    <row r="140" spans="2:16">
      <c r="B140" s="9" t="str">
        <f t="shared" si="19"/>
        <v/>
      </c>
      <c r="C140" s="157">
        <f>IF(D93="","-",+C139+1)</f>
        <v>2047</v>
      </c>
      <c r="D140" s="158">
        <f>IF(F139+SUM(E$99:E139)=D$92,F139,D$92-SUM(E$99:E139))</f>
        <v>55911</v>
      </c>
      <c r="E140" s="165">
        <f>IF(+J96&lt;F139,J96,D140)</f>
        <v>8429</v>
      </c>
      <c r="F140" s="163">
        <f t="shared" si="28"/>
        <v>47482</v>
      </c>
      <c r="G140" s="163">
        <f t="shared" si="29"/>
        <v>51696.5</v>
      </c>
      <c r="H140" s="167">
        <f t="shared" si="26"/>
        <v>14986.831377771061</v>
      </c>
      <c r="I140" s="317">
        <f t="shared" si="27"/>
        <v>14986.831377771061</v>
      </c>
      <c r="J140" s="162">
        <f t="shared" si="30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1"/>
        <v>0</v>
      </c>
    </row>
    <row r="141" spans="2:16">
      <c r="B141" s="9" t="str">
        <f t="shared" si="19"/>
        <v/>
      </c>
      <c r="C141" s="157">
        <f>IF(D93="","-",+C140+1)</f>
        <v>2048</v>
      </c>
      <c r="D141" s="158">
        <f>IF(F140+SUM(E$99:E140)=D$92,F140,D$92-SUM(E$99:E140))</f>
        <v>47482</v>
      </c>
      <c r="E141" s="165">
        <f>IF(+J96&lt;F140,J96,D141)</f>
        <v>8429</v>
      </c>
      <c r="F141" s="163">
        <f t="shared" si="28"/>
        <v>39053</v>
      </c>
      <c r="G141" s="163">
        <f t="shared" si="29"/>
        <v>43267.5</v>
      </c>
      <c r="H141" s="167">
        <f t="shared" si="26"/>
        <v>13917.591474040011</v>
      </c>
      <c r="I141" s="317">
        <f t="shared" si="27"/>
        <v>13917.591474040011</v>
      </c>
      <c r="J141" s="162">
        <f t="shared" si="30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1"/>
        <v>0</v>
      </c>
    </row>
    <row r="142" spans="2:16">
      <c r="B142" s="9" t="str">
        <f t="shared" si="19"/>
        <v/>
      </c>
      <c r="C142" s="157">
        <f>IF(D93="","-",+C141+1)</f>
        <v>2049</v>
      </c>
      <c r="D142" s="158">
        <f>IF(F141+SUM(E$99:E141)=D$92,F141,D$92-SUM(E$99:E141))</f>
        <v>39053</v>
      </c>
      <c r="E142" s="165">
        <f>IF(+J96&lt;F141,J96,D142)</f>
        <v>8429</v>
      </c>
      <c r="F142" s="163">
        <f t="shared" si="28"/>
        <v>30624</v>
      </c>
      <c r="G142" s="163">
        <f t="shared" si="29"/>
        <v>34838.5</v>
      </c>
      <c r="H142" s="167">
        <f t="shared" si="26"/>
        <v>12848.351570308958</v>
      </c>
      <c r="I142" s="317">
        <f t="shared" si="27"/>
        <v>12848.351570308958</v>
      </c>
      <c r="J142" s="162">
        <f t="shared" si="30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1"/>
        <v>0</v>
      </c>
    </row>
    <row r="143" spans="2:16">
      <c r="B143" s="9" t="str">
        <f t="shared" si="19"/>
        <v/>
      </c>
      <c r="C143" s="157">
        <f>IF(D93="","-",+C142+1)</f>
        <v>2050</v>
      </c>
      <c r="D143" s="158">
        <f>IF(F142+SUM(E$99:E142)=D$92,F142,D$92-SUM(E$99:E142))</f>
        <v>30624</v>
      </c>
      <c r="E143" s="165">
        <f>IF(+J96&lt;F142,J96,D143)</f>
        <v>8429</v>
      </c>
      <c r="F143" s="163">
        <f t="shared" si="28"/>
        <v>22195</v>
      </c>
      <c r="G143" s="163">
        <f t="shared" si="29"/>
        <v>26409.5</v>
      </c>
      <c r="H143" s="167">
        <f t="shared" si="26"/>
        <v>11779.111666577908</v>
      </c>
      <c r="I143" s="317">
        <f t="shared" si="27"/>
        <v>11779.111666577908</v>
      </c>
      <c r="J143" s="162">
        <f t="shared" si="30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1"/>
        <v>0</v>
      </c>
    </row>
    <row r="144" spans="2:16">
      <c r="B144" s="9" t="str">
        <f t="shared" si="19"/>
        <v/>
      </c>
      <c r="C144" s="157">
        <f>IF(D93="","-",+C143+1)</f>
        <v>2051</v>
      </c>
      <c r="D144" s="158">
        <f>IF(F143+SUM(E$99:E143)=D$92,F143,D$92-SUM(E$99:E143))</f>
        <v>22195</v>
      </c>
      <c r="E144" s="165">
        <f>IF(+J96&lt;F143,J96,D144)</f>
        <v>8429</v>
      </c>
      <c r="F144" s="163">
        <f t="shared" si="28"/>
        <v>13766</v>
      </c>
      <c r="G144" s="163">
        <f t="shared" si="29"/>
        <v>17980.5</v>
      </c>
      <c r="H144" s="167">
        <f t="shared" si="26"/>
        <v>10709.871762846857</v>
      </c>
      <c r="I144" s="317">
        <f t="shared" si="27"/>
        <v>10709.871762846857</v>
      </c>
      <c r="J144" s="162">
        <f t="shared" si="30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1"/>
        <v>0</v>
      </c>
    </row>
    <row r="145" spans="2:16">
      <c r="B145" s="9" t="str">
        <f t="shared" si="19"/>
        <v/>
      </c>
      <c r="C145" s="157">
        <f>IF(D93="","-",+C144+1)</f>
        <v>2052</v>
      </c>
      <c r="D145" s="158">
        <f>IF(F144+SUM(E$99:E144)=D$92,F144,D$92-SUM(E$99:E144))</f>
        <v>13766</v>
      </c>
      <c r="E145" s="165">
        <f>IF(+J96&lt;F144,J96,D145)</f>
        <v>8429</v>
      </c>
      <c r="F145" s="163">
        <f t="shared" si="28"/>
        <v>5337</v>
      </c>
      <c r="G145" s="163">
        <f t="shared" si="29"/>
        <v>9551.5</v>
      </c>
      <c r="H145" s="167">
        <f t="shared" si="26"/>
        <v>9640.6318591158069</v>
      </c>
      <c r="I145" s="317">
        <f t="shared" si="27"/>
        <v>9640.6318591158069</v>
      </c>
      <c r="J145" s="162">
        <f t="shared" si="30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1"/>
        <v>0</v>
      </c>
    </row>
    <row r="146" spans="2:16">
      <c r="B146" s="9" t="str">
        <f t="shared" si="19"/>
        <v/>
      </c>
      <c r="C146" s="157">
        <f>IF(D93="","-",+C145+1)</f>
        <v>2053</v>
      </c>
      <c r="D146" s="158">
        <f>IF(F145+SUM(E$99:E145)=D$92,F145,D$92-SUM(E$99:E145))</f>
        <v>5337</v>
      </c>
      <c r="E146" s="165">
        <f>IF(+J96&lt;F145,J96,D146)</f>
        <v>5337</v>
      </c>
      <c r="F146" s="163">
        <f t="shared" si="28"/>
        <v>0</v>
      </c>
      <c r="G146" s="163">
        <f t="shared" si="29"/>
        <v>2668.5</v>
      </c>
      <c r="H146" s="167">
        <f t="shared" si="26"/>
        <v>5675.5059536251401</v>
      </c>
      <c r="I146" s="317">
        <f t="shared" si="27"/>
        <v>5675.5059536251401</v>
      </c>
      <c r="J146" s="162">
        <f t="shared" si="30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1"/>
        <v>0</v>
      </c>
    </row>
    <row r="147" spans="2:16">
      <c r="B147" s="9" t="str">
        <f t="shared" si="19"/>
        <v/>
      </c>
      <c r="C147" s="157">
        <f>IF(D93="","-",+C146+1)</f>
        <v>2054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26"/>
        <v>0</v>
      </c>
      <c r="I147" s="317">
        <f t="shared" si="27"/>
        <v>0</v>
      </c>
      <c r="J147" s="162">
        <f t="shared" si="30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1"/>
        <v>0</v>
      </c>
    </row>
    <row r="148" spans="2:16">
      <c r="B148" s="9" t="str">
        <f t="shared" si="19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26"/>
        <v>0</v>
      </c>
      <c r="I148" s="317">
        <f t="shared" si="27"/>
        <v>0</v>
      </c>
      <c r="J148" s="162">
        <f t="shared" si="30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1"/>
        <v>0</v>
      </c>
    </row>
    <row r="149" spans="2:16">
      <c r="B149" s="9" t="str">
        <f t="shared" si="19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26"/>
        <v>0</v>
      </c>
      <c r="I149" s="317">
        <f t="shared" si="27"/>
        <v>0</v>
      </c>
      <c r="J149" s="162">
        <f t="shared" si="30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1"/>
        <v>0</v>
      </c>
    </row>
    <row r="150" spans="2:16">
      <c r="B150" s="9" t="str">
        <f t="shared" si="19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26"/>
        <v>0</v>
      </c>
      <c r="I150" s="317">
        <f t="shared" si="27"/>
        <v>0</v>
      </c>
      <c r="J150" s="162">
        <f t="shared" si="30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1"/>
        <v>0</v>
      </c>
    </row>
    <row r="151" spans="2:16">
      <c r="B151" s="9" t="str">
        <f t="shared" si="19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26"/>
        <v>0</v>
      </c>
      <c r="I151" s="317">
        <f t="shared" si="27"/>
        <v>0</v>
      </c>
      <c r="J151" s="162">
        <f t="shared" si="30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1"/>
        <v>0</v>
      </c>
    </row>
    <row r="152" spans="2:16">
      <c r="B152" s="9" t="str">
        <f t="shared" si="19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26"/>
        <v>0</v>
      </c>
      <c r="I152" s="317">
        <f t="shared" si="27"/>
        <v>0</v>
      </c>
      <c r="J152" s="162">
        <f t="shared" si="30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1"/>
        <v>0</v>
      </c>
    </row>
    <row r="153" spans="2:16">
      <c r="B153" s="9" t="str">
        <f t="shared" si="19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26"/>
        <v>0</v>
      </c>
      <c r="I153" s="317">
        <f t="shared" si="27"/>
        <v>0</v>
      </c>
      <c r="J153" s="162">
        <f t="shared" si="30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1"/>
        <v>0</v>
      </c>
    </row>
    <row r="154" spans="2:16" ht="13.5" thickBot="1">
      <c r="B154" s="9" t="str">
        <f t="shared" si="19"/>
        <v/>
      </c>
      <c r="C154" s="168">
        <f>IF(D93="","-",+C153+1)</f>
        <v>2061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26"/>
        <v>0</v>
      </c>
      <c r="I154" s="318">
        <f t="shared" si="27"/>
        <v>0</v>
      </c>
      <c r="J154" s="173">
        <f t="shared" si="30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1"/>
        <v>0</v>
      </c>
    </row>
    <row r="155" spans="2:16">
      <c r="C155" s="158" t="s">
        <v>72</v>
      </c>
      <c r="D155" s="115"/>
      <c r="E155" s="115">
        <f>SUM(E99:E154)</f>
        <v>387742</v>
      </c>
      <c r="F155" s="115"/>
      <c r="G155" s="115"/>
      <c r="H155" s="115">
        <f>SUM(H99:H154)</f>
        <v>1607763.7111259333</v>
      </c>
      <c r="I155" s="115">
        <f>SUM(I99:I154)</f>
        <v>1607763.7111259333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zoomScale="75" zoomScaleNormal="100" workbookViewId="0">
      <selection activeCell="C6" sqref="C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6 of 27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277</v>
      </c>
      <c r="L5" s="119"/>
      <c r="M5" s="120"/>
      <c r="N5" s="121">
        <f>VLOOKUP(I10,C17:I72,5)</f>
        <v>170177.34445508715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278</v>
      </c>
      <c r="L6" s="125"/>
      <c r="M6" s="4"/>
      <c r="N6" s="126">
        <f>VLOOKUP(I10,C17:I72,6)</f>
        <v>170177.34445508715</v>
      </c>
      <c r="O6" s="1"/>
      <c r="P6" s="1"/>
    </row>
    <row r="7" spans="1:16" ht="13.5" thickBot="1">
      <c r="C7" s="127" t="s">
        <v>41</v>
      </c>
      <c r="D7" s="270" t="s">
        <v>79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80</v>
      </c>
      <c r="E9" s="428" t="s">
        <v>306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1520502</v>
      </c>
      <c r="E10" s="64" t="s">
        <v>46</v>
      </c>
      <c r="F10" s="137"/>
      <c r="G10" s="139"/>
      <c r="H10" s="139"/>
      <c r="I10" s="140">
        <f>+PSO.WS.F.BPU.ATRR.Projected!L19</f>
        <v>2019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0.11165663129755146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40</v>
      </c>
      <c r="E13" s="141" t="s">
        <v>54</v>
      </c>
      <c r="F13" s="139"/>
      <c r="G13" s="7"/>
      <c r="H13" s="7"/>
      <c r="I13" s="145">
        <f>IF(G5="",I12,PSO.WS.F.BPU.ATRR.Projected!$F$80)</f>
        <v>0.11165663129755146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38012.550000000003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279</v>
      </c>
      <c r="H15" s="362" t="s">
        <v>280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2008</v>
      </c>
      <c r="D17" s="366">
        <v>1520473</v>
      </c>
      <c r="E17" s="367">
        <v>19125</v>
      </c>
      <c r="F17" s="366">
        <v>1501348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2009</v>
      </c>
      <c r="D18" s="371">
        <v>1501348</v>
      </c>
      <c r="E18" s="368">
        <v>28688</v>
      </c>
      <c r="F18" s="371">
        <v>1472660</v>
      </c>
      <c r="G18" s="368">
        <v>254309</v>
      </c>
      <c r="H18" s="370">
        <v>254309</v>
      </c>
      <c r="I18" s="160">
        <f t="shared" si="0"/>
        <v>0</v>
      </c>
      <c r="J18" s="160"/>
      <c r="K18" s="338">
        <v>254309</v>
      </c>
      <c r="L18" s="162">
        <f t="shared" si="1"/>
        <v>0</v>
      </c>
      <c r="M18" s="338">
        <v>254309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71">
        <v>1472689</v>
      </c>
      <c r="E19" s="368">
        <v>27151.821428571428</v>
      </c>
      <c r="F19" s="371">
        <v>1445537.1785714286</v>
      </c>
      <c r="G19" s="368">
        <v>235737.79751815079</v>
      </c>
      <c r="H19" s="370">
        <v>235737.79751815079</v>
      </c>
      <c r="I19" s="160">
        <f t="shared" si="0"/>
        <v>0</v>
      </c>
      <c r="J19" s="160"/>
      <c r="K19" s="380">
        <f t="shared" ref="K19:K24" si="4">G19</f>
        <v>235737.79751815079</v>
      </c>
      <c r="L19" s="381">
        <f t="shared" si="1"/>
        <v>0</v>
      </c>
      <c r="M19" s="380">
        <f t="shared" ref="M19:M24" si="5">H19</f>
        <v>235737.79751815079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2011</v>
      </c>
      <c r="D20" s="371">
        <v>1445537.1785714286</v>
      </c>
      <c r="E20" s="368">
        <v>29813.764705882353</v>
      </c>
      <c r="F20" s="371">
        <v>1415723.4138655462</v>
      </c>
      <c r="G20" s="368">
        <v>251435.83921239444</v>
      </c>
      <c r="H20" s="370">
        <v>251435.83921239444</v>
      </c>
      <c r="I20" s="160">
        <f t="shared" si="0"/>
        <v>0</v>
      </c>
      <c r="J20" s="160"/>
      <c r="K20" s="338">
        <f t="shared" si="4"/>
        <v>251435.83921239444</v>
      </c>
      <c r="L20" s="272">
        <f t="shared" si="1"/>
        <v>0</v>
      </c>
      <c r="M20" s="338">
        <f t="shared" si="5"/>
        <v>251435.83921239444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IF(D11="","-",+C20+1)</f>
        <v>2012</v>
      </c>
      <c r="D21" s="371">
        <v>1415723.4138655462</v>
      </c>
      <c r="E21" s="368">
        <v>29240.423076923078</v>
      </c>
      <c r="F21" s="371">
        <v>1386482.9907886232</v>
      </c>
      <c r="G21" s="368">
        <v>222248.1918516063</v>
      </c>
      <c r="H21" s="370">
        <v>222248.1918516063</v>
      </c>
      <c r="I21" s="160">
        <f t="shared" si="0"/>
        <v>0</v>
      </c>
      <c r="J21" s="160"/>
      <c r="K21" s="338">
        <f t="shared" si="4"/>
        <v>222248.1918516063</v>
      </c>
      <c r="L21" s="272">
        <f t="shared" si="1"/>
        <v>0</v>
      </c>
      <c r="M21" s="338">
        <f t="shared" si="5"/>
        <v>222248.1918516063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71">
        <v>1386482.9907886232</v>
      </c>
      <c r="E22" s="368">
        <v>29240.423076923078</v>
      </c>
      <c r="F22" s="371">
        <v>1357242.5677117002</v>
      </c>
      <c r="G22" s="368">
        <v>223063.83719618269</v>
      </c>
      <c r="H22" s="370">
        <v>223063.83719618269</v>
      </c>
      <c r="I22" s="160">
        <v>0</v>
      </c>
      <c r="J22" s="160"/>
      <c r="K22" s="338">
        <f t="shared" si="4"/>
        <v>223063.83719618269</v>
      </c>
      <c r="L22" s="272">
        <f t="shared" ref="L22:L27" si="7">IF(K22&lt;&gt;0,+G22-K22,0)</f>
        <v>0</v>
      </c>
      <c r="M22" s="338">
        <f t="shared" si="5"/>
        <v>223063.83719618269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71">
        <v>1357242.5677117002</v>
      </c>
      <c r="E23" s="368">
        <v>29240.423076923078</v>
      </c>
      <c r="F23" s="371">
        <v>1328002.1446347772</v>
      </c>
      <c r="G23" s="368">
        <v>212051.56179808528</v>
      </c>
      <c r="H23" s="370">
        <v>212051.56179808528</v>
      </c>
      <c r="I23" s="160">
        <v>0</v>
      </c>
      <c r="J23" s="160"/>
      <c r="K23" s="338">
        <f t="shared" si="4"/>
        <v>212051.56179808528</v>
      </c>
      <c r="L23" s="272">
        <f t="shared" si="7"/>
        <v>0</v>
      </c>
      <c r="M23" s="338">
        <f t="shared" si="5"/>
        <v>212051.56179808528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71">
        <v>1328002.1446347772</v>
      </c>
      <c r="E24" s="368">
        <v>29240.423076923078</v>
      </c>
      <c r="F24" s="371">
        <v>1298761.7215578542</v>
      </c>
      <c r="G24" s="368">
        <v>208302.85337289202</v>
      </c>
      <c r="H24" s="370">
        <v>208302.85337289202</v>
      </c>
      <c r="I24" s="160">
        <v>0</v>
      </c>
      <c r="J24" s="160"/>
      <c r="K24" s="338">
        <f t="shared" si="4"/>
        <v>208302.85337289202</v>
      </c>
      <c r="L24" s="272">
        <f t="shared" si="7"/>
        <v>0</v>
      </c>
      <c r="M24" s="338">
        <f t="shared" si="5"/>
        <v>208302.85337289202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71">
        <v>1298761.7215578542</v>
      </c>
      <c r="E25" s="368">
        <v>29240.423076923078</v>
      </c>
      <c r="F25" s="371">
        <v>1269521.2984809312</v>
      </c>
      <c r="G25" s="368">
        <v>195750.37197477801</v>
      </c>
      <c r="H25" s="370">
        <v>195750.37197477801</v>
      </c>
      <c r="I25" s="160">
        <f t="shared" si="0"/>
        <v>0</v>
      </c>
      <c r="J25" s="160"/>
      <c r="K25" s="338">
        <f>G25</f>
        <v>195750.37197477801</v>
      </c>
      <c r="L25" s="272">
        <f t="shared" si="7"/>
        <v>0</v>
      </c>
      <c r="M25" s="338">
        <f>H25</f>
        <v>195750.37197477801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71">
        <v>1269521.2984809312</v>
      </c>
      <c r="E26" s="368">
        <v>33054.391304347824</v>
      </c>
      <c r="F26" s="371">
        <v>1236466.9071765833</v>
      </c>
      <c r="G26" s="368">
        <v>190407.97942398797</v>
      </c>
      <c r="H26" s="370">
        <v>190407.97942398797</v>
      </c>
      <c r="I26" s="160">
        <v>0</v>
      </c>
      <c r="J26" s="160"/>
      <c r="K26" s="338">
        <f>G26</f>
        <v>190407.97942398797</v>
      </c>
      <c r="L26" s="272">
        <f t="shared" si="7"/>
        <v>0</v>
      </c>
      <c r="M26" s="338">
        <f>H26</f>
        <v>190407.97942398797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71">
        <v>1236466.9071765833</v>
      </c>
      <c r="E27" s="368">
        <v>33788.933333333334</v>
      </c>
      <c r="F27" s="371">
        <v>1202677.97384325</v>
      </c>
      <c r="G27" s="368">
        <v>179843.63692519162</v>
      </c>
      <c r="H27" s="370">
        <v>179843.63692519162</v>
      </c>
      <c r="I27" s="160">
        <f t="shared" si="0"/>
        <v>0</v>
      </c>
      <c r="J27" s="160"/>
      <c r="K27" s="338">
        <f>G27</f>
        <v>179843.63692519162</v>
      </c>
      <c r="L27" s="272">
        <f t="shared" si="7"/>
        <v>0</v>
      </c>
      <c r="M27" s="338">
        <f>H27</f>
        <v>179843.63692519162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163">
        <f>IF(F27+SUM(E$17:E27)=D$10,F27,D$10-SUM(E$17:E27))</f>
        <v>1202677.97384325</v>
      </c>
      <c r="E28" s="164">
        <f>IF(+I14&lt;F27,I14,D28)</f>
        <v>38012.550000000003</v>
      </c>
      <c r="F28" s="163">
        <f t="shared" ref="F28:F48" si="10">+D28-E28</f>
        <v>1164665.4238432499</v>
      </c>
      <c r="G28" s="165">
        <f t="shared" ref="G28:G72" si="11">(D28+F28)/2*I$12+E28</f>
        <v>170177.34445508715</v>
      </c>
      <c r="H28" s="147">
        <f t="shared" ref="H28:H72" si="12">+(D28+F28)/2*I$13+E28</f>
        <v>170177.34445508715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1164665.4238432499</v>
      </c>
      <c r="E29" s="164">
        <f>IF(+I14&lt;F28,I14,D29)</f>
        <v>38012.550000000003</v>
      </c>
      <c r="F29" s="163">
        <f t="shared" si="10"/>
        <v>1126652.8738432499</v>
      </c>
      <c r="G29" s="165">
        <f t="shared" si="11"/>
        <v>165932.99117505737</v>
      </c>
      <c r="H29" s="147">
        <f t="shared" si="12"/>
        <v>165932.99117505737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1126652.8738432499</v>
      </c>
      <c r="E30" s="164">
        <f>IF(+I14&lt;F29,I14,D30)</f>
        <v>38012.550000000003</v>
      </c>
      <c r="F30" s="163">
        <f t="shared" si="10"/>
        <v>1088640.3238432498</v>
      </c>
      <c r="G30" s="165">
        <f t="shared" si="11"/>
        <v>161688.63789502764</v>
      </c>
      <c r="H30" s="147">
        <f t="shared" si="12"/>
        <v>161688.63789502764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1088640.3238432498</v>
      </c>
      <c r="E31" s="164">
        <f>IF(+I14&lt;F30,I14,D31)</f>
        <v>38012.550000000003</v>
      </c>
      <c r="F31" s="163">
        <f t="shared" si="10"/>
        <v>1050627.7738432498</v>
      </c>
      <c r="G31" s="165">
        <f t="shared" si="11"/>
        <v>157444.28461499789</v>
      </c>
      <c r="H31" s="147">
        <f t="shared" si="12"/>
        <v>157444.28461499789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1050627.7738432498</v>
      </c>
      <c r="E32" s="164">
        <f>IF(+I14&lt;F31,I14,D32)</f>
        <v>38012.550000000003</v>
      </c>
      <c r="F32" s="163">
        <f t="shared" si="10"/>
        <v>1012615.2238432497</v>
      </c>
      <c r="G32" s="165">
        <f t="shared" si="11"/>
        <v>153199.93133496813</v>
      </c>
      <c r="H32" s="147">
        <f t="shared" si="12"/>
        <v>153199.93133496813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1012615.2238432497</v>
      </c>
      <c r="E33" s="164">
        <f>IF(+I14&lt;F32,I14,D33)</f>
        <v>38012.550000000003</v>
      </c>
      <c r="F33" s="163">
        <f t="shared" si="10"/>
        <v>974602.67384324968</v>
      </c>
      <c r="G33" s="165">
        <f t="shared" si="11"/>
        <v>148955.57805493841</v>
      </c>
      <c r="H33" s="147">
        <f t="shared" si="12"/>
        <v>148955.57805493841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974602.67384324968</v>
      </c>
      <c r="E34" s="164">
        <f>IF(+I14&lt;F33,I14,D34)</f>
        <v>38012.550000000003</v>
      </c>
      <c r="F34" s="163">
        <f t="shared" si="10"/>
        <v>936590.12384324963</v>
      </c>
      <c r="G34" s="165">
        <f t="shared" si="11"/>
        <v>144711.22477490868</v>
      </c>
      <c r="H34" s="147">
        <f t="shared" si="12"/>
        <v>144711.22477490868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936590.12384324963</v>
      </c>
      <c r="E35" s="164">
        <f>IF(+I14&lt;F34,I14,D35)</f>
        <v>38012.550000000003</v>
      </c>
      <c r="F35" s="163">
        <f t="shared" si="10"/>
        <v>898577.57384324959</v>
      </c>
      <c r="G35" s="165">
        <f t="shared" si="11"/>
        <v>140466.8714948789</v>
      </c>
      <c r="H35" s="147">
        <f t="shared" si="12"/>
        <v>140466.8714948789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898577.57384324959</v>
      </c>
      <c r="E36" s="164">
        <f>IF(+I14&lt;F35,I14,D36)</f>
        <v>38012.550000000003</v>
      </c>
      <c r="F36" s="163">
        <f t="shared" si="10"/>
        <v>860565.02384324954</v>
      </c>
      <c r="G36" s="165">
        <f t="shared" si="11"/>
        <v>136222.51821484917</v>
      </c>
      <c r="H36" s="147">
        <f t="shared" si="12"/>
        <v>136222.51821484917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860565.02384324954</v>
      </c>
      <c r="E37" s="164">
        <f>IF(+I14&lt;F36,I14,D37)</f>
        <v>38012.550000000003</v>
      </c>
      <c r="F37" s="163">
        <f t="shared" si="10"/>
        <v>822552.47384324949</v>
      </c>
      <c r="G37" s="165">
        <f t="shared" si="11"/>
        <v>131978.16493481945</v>
      </c>
      <c r="H37" s="147">
        <f t="shared" si="12"/>
        <v>131978.16493481945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822552.47384324949</v>
      </c>
      <c r="E38" s="164">
        <f>IF(+I14&lt;F37,I14,D38)</f>
        <v>38012.550000000003</v>
      </c>
      <c r="F38" s="163">
        <f t="shared" si="10"/>
        <v>784539.92384324945</v>
      </c>
      <c r="G38" s="165">
        <f t="shared" si="11"/>
        <v>127733.81165478968</v>
      </c>
      <c r="H38" s="147">
        <f t="shared" si="12"/>
        <v>127733.81165478968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784539.92384324945</v>
      </c>
      <c r="E39" s="164">
        <f>IF(+I14&lt;F38,I14,D39)</f>
        <v>38012.550000000003</v>
      </c>
      <c r="F39" s="163">
        <f t="shared" si="10"/>
        <v>746527.3738432494</v>
      </c>
      <c r="G39" s="165">
        <f t="shared" si="11"/>
        <v>123489.45837475994</v>
      </c>
      <c r="H39" s="147">
        <f t="shared" si="12"/>
        <v>123489.45837475994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746527.3738432494</v>
      </c>
      <c r="E40" s="164">
        <f>IF(+I14&lt;F39,I14,D40)</f>
        <v>38012.550000000003</v>
      </c>
      <c r="F40" s="163">
        <f t="shared" si="10"/>
        <v>708514.82384324935</v>
      </c>
      <c r="G40" s="165">
        <f t="shared" si="11"/>
        <v>119245.10509473018</v>
      </c>
      <c r="H40" s="147">
        <f t="shared" si="12"/>
        <v>119245.10509473018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708514.82384324935</v>
      </c>
      <c r="E41" s="164">
        <f>IF(+I14&lt;F40,I14,D41)</f>
        <v>38012.550000000003</v>
      </c>
      <c r="F41" s="163">
        <f t="shared" si="10"/>
        <v>670502.27384324931</v>
      </c>
      <c r="G41" s="165">
        <f t="shared" si="11"/>
        <v>115000.75181470044</v>
      </c>
      <c r="H41" s="147">
        <f t="shared" si="12"/>
        <v>115000.75181470044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670502.27384324931</v>
      </c>
      <c r="E42" s="164">
        <f>IF(+I14&lt;F41,I14,D42)</f>
        <v>38012.550000000003</v>
      </c>
      <c r="F42" s="163">
        <f t="shared" si="10"/>
        <v>632489.72384324926</v>
      </c>
      <c r="G42" s="165">
        <f t="shared" si="11"/>
        <v>110756.3985346707</v>
      </c>
      <c r="H42" s="147">
        <f t="shared" si="12"/>
        <v>110756.3985346707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632489.72384324926</v>
      </c>
      <c r="E43" s="164">
        <f>IF(+I14&lt;F42,I14,D43)</f>
        <v>38012.550000000003</v>
      </c>
      <c r="F43" s="163">
        <f t="shared" si="10"/>
        <v>594477.17384324921</v>
      </c>
      <c r="G43" s="165">
        <f t="shared" si="11"/>
        <v>106512.04525464095</v>
      </c>
      <c r="H43" s="147">
        <f t="shared" si="12"/>
        <v>106512.04525464095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594477.17384324921</v>
      </c>
      <c r="E44" s="164">
        <f>IF(+I14&lt;F43,I14,D44)</f>
        <v>38012.550000000003</v>
      </c>
      <c r="F44" s="163">
        <f t="shared" si="10"/>
        <v>556464.62384324917</v>
      </c>
      <c r="G44" s="165">
        <f t="shared" si="11"/>
        <v>102267.69197461121</v>
      </c>
      <c r="H44" s="147">
        <f t="shared" si="12"/>
        <v>102267.69197461121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556464.62384324917</v>
      </c>
      <c r="E45" s="164">
        <f>IF(+I14&lt;F44,I14,D45)</f>
        <v>38012.550000000003</v>
      </c>
      <c r="F45" s="163">
        <f t="shared" si="10"/>
        <v>518452.07384324918</v>
      </c>
      <c r="G45" s="165">
        <f t="shared" si="11"/>
        <v>98023.338694581471</v>
      </c>
      <c r="H45" s="147">
        <f t="shared" si="12"/>
        <v>98023.338694581471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518452.07384324918</v>
      </c>
      <c r="E46" s="164">
        <f>IF(+I14&lt;F45,I14,D46)</f>
        <v>38012.550000000003</v>
      </c>
      <c r="F46" s="163">
        <f t="shared" si="10"/>
        <v>480439.52384324919</v>
      </c>
      <c r="G46" s="165">
        <f t="shared" si="11"/>
        <v>93778.985414551731</v>
      </c>
      <c r="H46" s="147">
        <f t="shared" si="12"/>
        <v>93778.985414551731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480439.52384324919</v>
      </c>
      <c r="E47" s="164">
        <f>IF(+I14&lt;F46,I14,D47)</f>
        <v>38012.550000000003</v>
      </c>
      <c r="F47" s="163">
        <f t="shared" si="10"/>
        <v>442426.9738432492</v>
      </c>
      <c r="G47" s="165">
        <f t="shared" si="11"/>
        <v>89534.632134521991</v>
      </c>
      <c r="H47" s="147">
        <f t="shared" si="12"/>
        <v>89534.632134521991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442426.9738432492</v>
      </c>
      <c r="E48" s="164">
        <f>IF(+I14&lt;F47,I14,D48)</f>
        <v>38012.550000000003</v>
      </c>
      <c r="F48" s="163">
        <f t="shared" si="10"/>
        <v>404414.42384324921</v>
      </c>
      <c r="G48" s="165">
        <f t="shared" si="11"/>
        <v>85290.278854492266</v>
      </c>
      <c r="H48" s="147">
        <f t="shared" si="12"/>
        <v>85290.278854492266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404414.42384324921</v>
      </c>
      <c r="E49" s="164">
        <f>IF(+I14&lt;F48,I14,D49)</f>
        <v>38012.550000000003</v>
      </c>
      <c r="F49" s="163">
        <f t="shared" ref="F49:F72" si="13">+D49-E49</f>
        <v>366401.87384324922</v>
      </c>
      <c r="G49" s="165">
        <f t="shared" si="11"/>
        <v>81045.925574462512</v>
      </c>
      <c r="H49" s="147">
        <f t="shared" si="12"/>
        <v>81045.925574462512</v>
      </c>
      <c r="I49" s="160">
        <f t="shared" ref="I49:I72" si="14">H49-G49</f>
        <v>0</v>
      </c>
      <c r="J49" s="160"/>
      <c r="K49" s="335"/>
      <c r="L49" s="162">
        <f t="shared" ref="L49:L72" si="15">IF(K49&lt;&gt;0,+G49-K49,0)</f>
        <v>0</v>
      </c>
      <c r="M49" s="335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366401.87384324922</v>
      </c>
      <c r="E50" s="164">
        <f>IF(+I14&lt;F49,I14,D50)</f>
        <v>38012.550000000003</v>
      </c>
      <c r="F50" s="163">
        <f t="shared" si="13"/>
        <v>328389.32384324924</v>
      </c>
      <c r="G50" s="165">
        <f t="shared" si="11"/>
        <v>76801.572294432786</v>
      </c>
      <c r="H50" s="147">
        <f t="shared" si="12"/>
        <v>76801.572294432786</v>
      </c>
      <c r="I50" s="160">
        <f t="shared" si="14"/>
        <v>0</v>
      </c>
      <c r="J50" s="160"/>
      <c r="K50" s="335"/>
      <c r="L50" s="162">
        <f t="shared" si="15"/>
        <v>0</v>
      </c>
      <c r="M50" s="335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328389.32384324924</v>
      </c>
      <c r="E51" s="164">
        <f>IF(+I14&lt;F50,I14,D51)</f>
        <v>38012.550000000003</v>
      </c>
      <c r="F51" s="163">
        <f t="shared" si="13"/>
        <v>290376.77384324925</v>
      </c>
      <c r="G51" s="165">
        <f t="shared" si="11"/>
        <v>72557.219014403032</v>
      </c>
      <c r="H51" s="147">
        <f t="shared" si="12"/>
        <v>72557.219014403032</v>
      </c>
      <c r="I51" s="160">
        <f t="shared" si="14"/>
        <v>0</v>
      </c>
      <c r="J51" s="160"/>
      <c r="K51" s="335"/>
      <c r="L51" s="162">
        <f t="shared" si="15"/>
        <v>0</v>
      </c>
      <c r="M51" s="335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290376.77384324925</v>
      </c>
      <c r="E52" s="164">
        <f>IF(+I14&lt;F51,I14,D52)</f>
        <v>38012.550000000003</v>
      </c>
      <c r="F52" s="163">
        <f t="shared" si="13"/>
        <v>252364.22384324926</v>
      </c>
      <c r="G52" s="165">
        <f t="shared" si="11"/>
        <v>68312.865734373307</v>
      </c>
      <c r="H52" s="147">
        <f t="shared" si="12"/>
        <v>68312.865734373307</v>
      </c>
      <c r="I52" s="160">
        <f t="shared" si="14"/>
        <v>0</v>
      </c>
      <c r="J52" s="160"/>
      <c r="K52" s="335"/>
      <c r="L52" s="162">
        <f t="shared" si="15"/>
        <v>0</v>
      </c>
      <c r="M52" s="335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252364.22384324926</v>
      </c>
      <c r="E53" s="164">
        <f>IF(+I14&lt;F52,I14,D53)</f>
        <v>38012.550000000003</v>
      </c>
      <c r="F53" s="163">
        <f t="shared" si="13"/>
        <v>214351.67384324927</v>
      </c>
      <c r="G53" s="165">
        <f t="shared" si="11"/>
        <v>64068.512454343567</v>
      </c>
      <c r="H53" s="147">
        <f t="shared" si="12"/>
        <v>64068.512454343567</v>
      </c>
      <c r="I53" s="160">
        <f t="shared" si="14"/>
        <v>0</v>
      </c>
      <c r="J53" s="160"/>
      <c r="K53" s="335"/>
      <c r="L53" s="162">
        <f t="shared" si="15"/>
        <v>0</v>
      </c>
      <c r="M53" s="335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214351.67384324927</v>
      </c>
      <c r="E54" s="164">
        <f>IF(+I14&lt;F53,I14,D54)</f>
        <v>38012.550000000003</v>
      </c>
      <c r="F54" s="163">
        <f t="shared" si="13"/>
        <v>176339.12384324928</v>
      </c>
      <c r="G54" s="165">
        <f t="shared" si="11"/>
        <v>59824.159174313827</v>
      </c>
      <c r="H54" s="147">
        <f t="shared" si="12"/>
        <v>59824.159174313827</v>
      </c>
      <c r="I54" s="160">
        <f t="shared" si="14"/>
        <v>0</v>
      </c>
      <c r="J54" s="160"/>
      <c r="K54" s="335"/>
      <c r="L54" s="162">
        <f t="shared" si="15"/>
        <v>0</v>
      </c>
      <c r="M54" s="335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176339.12384324928</v>
      </c>
      <c r="E55" s="164">
        <f>IF(+I14&lt;F54,I14,D55)</f>
        <v>38012.550000000003</v>
      </c>
      <c r="F55" s="163">
        <f t="shared" si="13"/>
        <v>138326.57384324929</v>
      </c>
      <c r="G55" s="165">
        <f t="shared" si="11"/>
        <v>55579.805894284087</v>
      </c>
      <c r="H55" s="147">
        <f t="shared" si="12"/>
        <v>55579.805894284087</v>
      </c>
      <c r="I55" s="160">
        <f t="shared" si="14"/>
        <v>0</v>
      </c>
      <c r="J55" s="160"/>
      <c r="K55" s="335"/>
      <c r="L55" s="162">
        <f t="shared" si="15"/>
        <v>0</v>
      </c>
      <c r="M55" s="335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138326.57384324929</v>
      </c>
      <c r="E56" s="164">
        <f>IF(+I14&lt;F55,I14,D56)</f>
        <v>38012.550000000003</v>
      </c>
      <c r="F56" s="163">
        <f t="shared" si="13"/>
        <v>100314.02384324929</v>
      </c>
      <c r="G56" s="165">
        <f t="shared" si="11"/>
        <v>51335.452614254347</v>
      </c>
      <c r="H56" s="147">
        <f t="shared" si="12"/>
        <v>51335.452614254347</v>
      </c>
      <c r="I56" s="160">
        <f t="shared" si="14"/>
        <v>0</v>
      </c>
      <c r="J56" s="160"/>
      <c r="K56" s="335"/>
      <c r="L56" s="162">
        <f t="shared" si="15"/>
        <v>0</v>
      </c>
      <c r="M56" s="335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100314.02384324929</v>
      </c>
      <c r="E57" s="164">
        <f>IF(+I14&lt;F56,I14,D57)</f>
        <v>38012.550000000003</v>
      </c>
      <c r="F57" s="163">
        <f t="shared" si="13"/>
        <v>62301.473843249289</v>
      </c>
      <c r="G57" s="165">
        <f t="shared" si="11"/>
        <v>47091.099334224607</v>
      </c>
      <c r="H57" s="147">
        <f t="shared" si="12"/>
        <v>47091.099334224607</v>
      </c>
      <c r="I57" s="160">
        <f t="shared" si="14"/>
        <v>0</v>
      </c>
      <c r="J57" s="160"/>
      <c r="K57" s="335"/>
      <c r="L57" s="162">
        <f t="shared" si="15"/>
        <v>0</v>
      </c>
      <c r="M57" s="335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62301.473843249289</v>
      </c>
      <c r="E58" s="164">
        <f>IF(+I14&lt;F57,I14,D58)</f>
        <v>38012.550000000003</v>
      </c>
      <c r="F58" s="163">
        <f t="shared" si="13"/>
        <v>24288.923843249286</v>
      </c>
      <c r="G58" s="165">
        <f t="shared" si="11"/>
        <v>42846.746054194868</v>
      </c>
      <c r="H58" s="147">
        <f t="shared" si="12"/>
        <v>42846.746054194868</v>
      </c>
      <c r="I58" s="160">
        <f t="shared" si="14"/>
        <v>0</v>
      </c>
      <c r="J58" s="160"/>
      <c r="K58" s="335"/>
      <c r="L58" s="162">
        <f t="shared" si="15"/>
        <v>0</v>
      </c>
      <c r="M58" s="335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24288.923843249286</v>
      </c>
      <c r="E59" s="164">
        <f>IF(+I14&lt;F58,I14,D59)</f>
        <v>24288.923843249286</v>
      </c>
      <c r="F59" s="163">
        <f t="shared" si="13"/>
        <v>0</v>
      </c>
      <c r="G59" s="165">
        <f t="shared" si="11"/>
        <v>25644.933550339283</v>
      </c>
      <c r="H59" s="147">
        <f t="shared" si="12"/>
        <v>25644.933550339283</v>
      </c>
      <c r="I59" s="160">
        <f t="shared" si="14"/>
        <v>0</v>
      </c>
      <c r="J59" s="160"/>
      <c r="K59" s="335"/>
      <c r="L59" s="162">
        <f t="shared" si="15"/>
        <v>0</v>
      </c>
      <c r="M59" s="335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0</v>
      </c>
      <c r="E60" s="164">
        <f>IF(+I14&lt;F59,I14,D60)</f>
        <v>0</v>
      </c>
      <c r="F60" s="163">
        <f t="shared" si="13"/>
        <v>0</v>
      </c>
      <c r="G60" s="165">
        <f t="shared" si="11"/>
        <v>0</v>
      </c>
      <c r="H60" s="147">
        <f t="shared" si="12"/>
        <v>0</v>
      </c>
      <c r="I60" s="160">
        <f t="shared" si="14"/>
        <v>0</v>
      </c>
      <c r="J60" s="160"/>
      <c r="K60" s="335"/>
      <c r="L60" s="162">
        <f t="shared" si="15"/>
        <v>0</v>
      </c>
      <c r="M60" s="335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3"/>
        <v>0</v>
      </c>
      <c r="G61" s="165">
        <f t="shared" si="11"/>
        <v>0</v>
      </c>
      <c r="H61" s="147">
        <f t="shared" si="12"/>
        <v>0</v>
      </c>
      <c r="I61" s="160">
        <f t="shared" si="14"/>
        <v>0</v>
      </c>
      <c r="J61" s="160"/>
      <c r="K61" s="335"/>
      <c r="L61" s="162">
        <f t="shared" si="15"/>
        <v>0</v>
      </c>
      <c r="M61" s="335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1"/>
        <v>0</v>
      </c>
      <c r="H62" s="147">
        <f t="shared" si="12"/>
        <v>0</v>
      </c>
      <c r="I62" s="160">
        <f t="shared" si="14"/>
        <v>0</v>
      </c>
      <c r="J62" s="160"/>
      <c r="K62" s="335"/>
      <c r="L62" s="162">
        <f t="shared" si="15"/>
        <v>0</v>
      </c>
      <c r="M62" s="335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1"/>
        <v>0</v>
      </c>
      <c r="H63" s="147">
        <f t="shared" si="12"/>
        <v>0</v>
      </c>
      <c r="I63" s="160">
        <f t="shared" si="14"/>
        <v>0</v>
      </c>
      <c r="J63" s="160"/>
      <c r="K63" s="335"/>
      <c r="L63" s="162">
        <f t="shared" si="15"/>
        <v>0</v>
      </c>
      <c r="M63" s="335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5"/>
      <c r="L64" s="162">
        <f t="shared" si="15"/>
        <v>0</v>
      </c>
      <c r="M64" s="335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5"/>
      <c r="L65" s="162">
        <f t="shared" si="15"/>
        <v>0</v>
      </c>
      <c r="M65" s="335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5"/>
      <c r="L66" s="162">
        <f t="shared" si="15"/>
        <v>0</v>
      </c>
      <c r="M66" s="335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5"/>
      <c r="L67" s="162">
        <f t="shared" si="15"/>
        <v>0</v>
      </c>
      <c r="M67" s="335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5"/>
      <c r="L68" s="162">
        <f t="shared" si="15"/>
        <v>0</v>
      </c>
      <c r="M68" s="335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5"/>
      <c r="L69" s="162">
        <f t="shared" si="15"/>
        <v>0</v>
      </c>
      <c r="M69" s="335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5"/>
      <c r="L70" s="162">
        <f t="shared" si="15"/>
        <v>0</v>
      </c>
      <c r="M70" s="335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5"/>
      <c r="L71" s="162">
        <f t="shared" si="15"/>
        <v>0</v>
      </c>
      <c r="M71" s="335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1"/>
        <v>0</v>
      </c>
      <c r="H72" s="169">
        <f t="shared" si="12"/>
        <v>0</v>
      </c>
      <c r="I72" s="172">
        <f t="shared" si="14"/>
        <v>0</v>
      </c>
      <c r="J72" s="160"/>
      <c r="K72" s="336"/>
      <c r="L72" s="173">
        <f t="shared" si="15"/>
        <v>0</v>
      </c>
      <c r="M72" s="336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72</v>
      </c>
      <c r="D73" s="115"/>
      <c r="E73" s="115">
        <f>SUM(E17:E72)</f>
        <v>1520502.0000000005</v>
      </c>
      <c r="F73" s="115"/>
      <c r="G73" s="115">
        <f>SUM(G17:G72)</f>
        <v>5500669.4057174819</v>
      </c>
      <c r="H73" s="115">
        <f>SUM(H17:H72)</f>
        <v>5500669.4057174819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6 of 27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2017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190407.97942398797</v>
      </c>
      <c r="N87" s="202">
        <f>IF(J92&lt;D11,0,VLOOKUP(J92,C17:O72,11))</f>
        <v>190407.97942398797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191445.86392166355</v>
      </c>
      <c r="N88" s="204">
        <f>IF(J92&lt;D11,0,VLOOKUP(J92,C99:P154,7))</f>
        <v>191445.86392166355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Pryor Junction 138/69 Upgrade Transf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1037.884497675579</v>
      </c>
      <c r="N89" s="207">
        <f>+N88-N87</f>
        <v>1037.884497675579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TP2006090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1520502</v>
      </c>
      <c r="E92" s="22" t="s">
        <v>89</v>
      </c>
      <c r="H92" s="139"/>
      <c r="I92" s="139"/>
      <c r="J92" s="140">
        <f>+'PSO.WS.G.BPU.ATRR.True-up'!M16</f>
        <v>2017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0.12685252150089582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46</v>
      </c>
      <c r="E95" s="141" t="s">
        <v>54</v>
      </c>
      <c r="F95" s="139"/>
      <c r="G95" s="139"/>
      <c r="J95" s="145">
        <f>IF(H87="",J94,'PSO.WS.G.BPU.ATRR.True-up'!$F$80)</f>
        <v>0.12685252150089582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33054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96</v>
      </c>
      <c r="H97" s="363" t="s">
        <v>279</v>
      </c>
      <c r="I97" s="339" t="s">
        <v>280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2008</v>
      </c>
      <c r="D99" s="366">
        <v>0</v>
      </c>
      <c r="E99" s="368">
        <v>19125</v>
      </c>
      <c r="F99" s="371">
        <v>1501348</v>
      </c>
      <c r="G99" s="373">
        <v>750764</v>
      </c>
      <c r="H99" s="374">
        <v>138367</v>
      </c>
      <c r="I99" s="375">
        <v>138367</v>
      </c>
      <c r="J99" s="162">
        <f t="shared" ref="J99:J130" si="18">+I99-H99</f>
        <v>0</v>
      </c>
      <c r="K99" s="162"/>
      <c r="L99" s="337">
        <v>138367</v>
      </c>
      <c r="M99" s="161">
        <f t="shared" ref="M99:M130" si="19">IF(L99&lt;&gt;0,+H99-L99,0)</f>
        <v>0</v>
      </c>
      <c r="N99" s="337">
        <v>138367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6">
        <v>1501377</v>
      </c>
      <c r="E100" s="368">
        <v>27152</v>
      </c>
      <c r="F100" s="371">
        <v>1474225</v>
      </c>
      <c r="G100" s="371">
        <v>1487801</v>
      </c>
      <c r="H100" s="368">
        <v>244680.82784018715</v>
      </c>
      <c r="I100" s="370">
        <v>244680.82784018715</v>
      </c>
      <c r="J100" s="162">
        <f t="shared" si="18"/>
        <v>0</v>
      </c>
      <c r="K100" s="162"/>
      <c r="L100" s="380">
        <f t="shared" ref="L100:L105" si="22">H100</f>
        <v>244680.82784018715</v>
      </c>
      <c r="M100" s="381">
        <f t="shared" si="19"/>
        <v>0</v>
      </c>
      <c r="N100" s="380">
        <f t="shared" ref="N100:N105" si="23">I100</f>
        <v>244680.82784018715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2010</v>
      </c>
      <c r="D101" s="366">
        <v>1474225</v>
      </c>
      <c r="E101" s="368">
        <v>29814</v>
      </c>
      <c r="F101" s="371">
        <v>1444411</v>
      </c>
      <c r="G101" s="371">
        <v>1459318</v>
      </c>
      <c r="H101" s="368">
        <v>264494.5477733505</v>
      </c>
      <c r="I101" s="370">
        <v>264494.5477733505</v>
      </c>
      <c r="J101" s="162">
        <f t="shared" si="18"/>
        <v>0</v>
      </c>
      <c r="K101" s="162"/>
      <c r="L101" s="380">
        <f t="shared" si="22"/>
        <v>264494.5477733505</v>
      </c>
      <c r="M101" s="381">
        <f t="shared" si="19"/>
        <v>0</v>
      </c>
      <c r="N101" s="380">
        <f t="shared" si="23"/>
        <v>264494.5477733505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4"/>
        <v/>
      </c>
      <c r="C102" s="157">
        <f>IF(D93="","-",+C101+1)</f>
        <v>2011</v>
      </c>
      <c r="D102" s="366">
        <v>1444411</v>
      </c>
      <c r="E102" s="368">
        <v>29240</v>
      </c>
      <c r="F102" s="371">
        <v>1415171</v>
      </c>
      <c r="G102" s="371">
        <v>1429791</v>
      </c>
      <c r="H102" s="368">
        <v>229143.9952359481</v>
      </c>
      <c r="I102" s="370">
        <v>229143.9952359481</v>
      </c>
      <c r="J102" s="162">
        <f t="shared" si="18"/>
        <v>0</v>
      </c>
      <c r="K102" s="162"/>
      <c r="L102" s="380">
        <f t="shared" si="22"/>
        <v>229143.9952359481</v>
      </c>
      <c r="M102" s="381">
        <f t="shared" si="19"/>
        <v>0</v>
      </c>
      <c r="N102" s="380">
        <f t="shared" si="23"/>
        <v>229143.9952359481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4"/>
        <v/>
      </c>
      <c r="C103" s="157">
        <f>IF(D93="","-",+C102+1)</f>
        <v>2012</v>
      </c>
      <c r="D103" s="366">
        <v>1415171</v>
      </c>
      <c r="E103" s="368">
        <v>29240</v>
      </c>
      <c r="F103" s="371">
        <v>1385931</v>
      </c>
      <c r="G103" s="371">
        <v>1400551</v>
      </c>
      <c r="H103" s="368">
        <v>230716.93888695308</v>
      </c>
      <c r="I103" s="370">
        <v>230716.93888695308</v>
      </c>
      <c r="J103" s="162">
        <v>0</v>
      </c>
      <c r="K103" s="162"/>
      <c r="L103" s="380">
        <f t="shared" si="22"/>
        <v>230716.93888695308</v>
      </c>
      <c r="M103" s="381">
        <f>IF(L103&lt;&gt;0,+H103-L103,0)</f>
        <v>0</v>
      </c>
      <c r="N103" s="380">
        <f t="shared" si="23"/>
        <v>230716.93888695308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2013</v>
      </c>
      <c r="D104" s="366">
        <v>1385931</v>
      </c>
      <c r="E104" s="368">
        <v>29240</v>
      </c>
      <c r="F104" s="371">
        <v>1356691</v>
      </c>
      <c r="G104" s="371">
        <v>1371311</v>
      </c>
      <c r="H104" s="368">
        <v>226625.94850487544</v>
      </c>
      <c r="I104" s="370">
        <v>226625.94850487544</v>
      </c>
      <c r="J104" s="162">
        <v>0</v>
      </c>
      <c r="K104" s="162"/>
      <c r="L104" s="380">
        <f t="shared" si="22"/>
        <v>226625.94850487544</v>
      </c>
      <c r="M104" s="381">
        <f>IF(L104&lt;&gt;0,+H104-L104,0)</f>
        <v>0</v>
      </c>
      <c r="N104" s="380">
        <f t="shared" si="23"/>
        <v>226625.94850487544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2014</v>
      </c>
      <c r="D105" s="366">
        <v>1356691</v>
      </c>
      <c r="E105" s="368">
        <v>29240</v>
      </c>
      <c r="F105" s="371">
        <v>1327451</v>
      </c>
      <c r="G105" s="371">
        <v>1342071</v>
      </c>
      <c r="H105" s="368">
        <v>217929.69653942893</v>
      </c>
      <c r="I105" s="370">
        <v>217929.69653942893</v>
      </c>
      <c r="J105" s="162">
        <v>0</v>
      </c>
      <c r="K105" s="162"/>
      <c r="L105" s="380">
        <f t="shared" si="22"/>
        <v>217929.69653942893</v>
      </c>
      <c r="M105" s="381">
        <f>IF(L105&lt;&gt;0,+H105-L105,0)</f>
        <v>0</v>
      </c>
      <c r="N105" s="380">
        <f t="shared" si="23"/>
        <v>217929.69653942893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4"/>
        <v/>
      </c>
      <c r="C106" s="157">
        <f>IF(D93="","-",+C105+1)</f>
        <v>2015</v>
      </c>
      <c r="D106" s="366">
        <v>1327451</v>
      </c>
      <c r="E106" s="368">
        <v>29240</v>
      </c>
      <c r="F106" s="371">
        <v>1298211</v>
      </c>
      <c r="G106" s="371">
        <v>1312831</v>
      </c>
      <c r="H106" s="368">
        <v>208365.23426858318</v>
      </c>
      <c r="I106" s="370">
        <v>208365.23426858318</v>
      </c>
      <c r="J106" s="162">
        <f t="shared" si="18"/>
        <v>0</v>
      </c>
      <c r="K106" s="162"/>
      <c r="L106" s="380">
        <f>H106</f>
        <v>208365.23426858318</v>
      </c>
      <c r="M106" s="381">
        <f>IF(L106&lt;&gt;0,+H106-L106,0)</f>
        <v>0</v>
      </c>
      <c r="N106" s="380">
        <f>I106</f>
        <v>208365.23426858318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2016</v>
      </c>
      <c r="D107" s="366">
        <v>1298211</v>
      </c>
      <c r="E107" s="368">
        <v>33054</v>
      </c>
      <c r="F107" s="371">
        <v>1265157</v>
      </c>
      <c r="G107" s="371">
        <v>1281684</v>
      </c>
      <c r="H107" s="368">
        <v>198283.25268027262</v>
      </c>
      <c r="I107" s="370">
        <v>198283.25268027262</v>
      </c>
      <c r="J107" s="162">
        <v>0</v>
      </c>
      <c r="K107" s="162"/>
      <c r="L107" s="380">
        <f>H107</f>
        <v>198283.25268027262</v>
      </c>
      <c r="M107" s="381">
        <f>IF(L107&lt;&gt;0,+H107-L107,0)</f>
        <v>0</v>
      </c>
      <c r="N107" s="380">
        <f>I107</f>
        <v>198283.25268027262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4"/>
        <v/>
      </c>
      <c r="C108" s="157">
        <f>IF(D93="","-",+C107+1)</f>
        <v>2017</v>
      </c>
      <c r="D108" s="158">
        <f>IF(F107+SUM(E$99:E107)=D$92,F107,D$92-SUM(E$99:E107))</f>
        <v>1265157</v>
      </c>
      <c r="E108" s="165">
        <f>IF(+J96&lt;F107,J96,D108)</f>
        <v>33054</v>
      </c>
      <c r="F108" s="163">
        <f t="shared" ref="F108:F130" si="25">+D108-E108</f>
        <v>1232103</v>
      </c>
      <c r="G108" s="163">
        <f t="shared" ref="G108:G130" si="26">+(F108+D108)/2</f>
        <v>1248630</v>
      </c>
      <c r="H108" s="167">
        <f t="shared" ref="H108:H154" si="27">+J$94*G108+E108</f>
        <v>191445.86392166355</v>
      </c>
      <c r="I108" s="317">
        <f t="shared" ref="I108:I154" si="28">+J$95*G108+E108</f>
        <v>191445.86392166355</v>
      </c>
      <c r="J108" s="162">
        <f t="shared" si="18"/>
        <v>0</v>
      </c>
      <c r="K108" s="162"/>
      <c r="L108" s="335"/>
      <c r="M108" s="162">
        <f t="shared" si="19"/>
        <v>0</v>
      </c>
      <c r="N108" s="335"/>
      <c r="O108" s="162">
        <f t="shared" si="20"/>
        <v>0</v>
      </c>
      <c r="P108" s="162">
        <f t="shared" si="21"/>
        <v>0</v>
      </c>
    </row>
    <row r="109" spans="1:16">
      <c r="B109" s="9" t="str">
        <f t="shared" si="24"/>
        <v/>
      </c>
      <c r="C109" s="157">
        <f>IF(D93="","-",+C108+1)</f>
        <v>2018</v>
      </c>
      <c r="D109" s="158">
        <f>IF(F108+SUM(E$99:E108)=D$92,F108,D$92-SUM(E$99:E108))</f>
        <v>1232103</v>
      </c>
      <c r="E109" s="165">
        <f>IF(+J96&lt;F108,J96,D109)</f>
        <v>33054</v>
      </c>
      <c r="F109" s="163">
        <f t="shared" si="25"/>
        <v>1199049</v>
      </c>
      <c r="G109" s="163">
        <f t="shared" si="26"/>
        <v>1215576</v>
      </c>
      <c r="H109" s="167">
        <f t="shared" si="27"/>
        <v>187252.88067597293</v>
      </c>
      <c r="I109" s="317">
        <f t="shared" si="28"/>
        <v>187252.88067597293</v>
      </c>
      <c r="J109" s="162">
        <f t="shared" si="18"/>
        <v>0</v>
      </c>
      <c r="K109" s="162"/>
      <c r="L109" s="335"/>
      <c r="M109" s="162">
        <f t="shared" si="19"/>
        <v>0</v>
      </c>
      <c r="N109" s="335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4"/>
        <v/>
      </c>
      <c r="C110" s="157">
        <f>IF(D93="","-",+C109+1)</f>
        <v>2019</v>
      </c>
      <c r="D110" s="158">
        <f>IF(F109+SUM(E$99:E109)=D$92,F109,D$92-SUM(E$99:E109))</f>
        <v>1199049</v>
      </c>
      <c r="E110" s="165">
        <f>IF(+J96&lt;F109,J96,D110)</f>
        <v>33054</v>
      </c>
      <c r="F110" s="163">
        <f t="shared" si="25"/>
        <v>1165995</v>
      </c>
      <c r="G110" s="163">
        <f t="shared" si="26"/>
        <v>1182522</v>
      </c>
      <c r="H110" s="167">
        <f t="shared" si="27"/>
        <v>183059.89743028232</v>
      </c>
      <c r="I110" s="317">
        <f t="shared" si="28"/>
        <v>183059.89743028232</v>
      </c>
      <c r="J110" s="162">
        <f t="shared" si="18"/>
        <v>0</v>
      </c>
      <c r="K110" s="162"/>
      <c r="L110" s="335"/>
      <c r="M110" s="162">
        <f t="shared" si="19"/>
        <v>0</v>
      </c>
      <c r="N110" s="335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4"/>
        <v/>
      </c>
      <c r="C111" s="157">
        <f>IF(D93="","-",+C110+1)</f>
        <v>2020</v>
      </c>
      <c r="D111" s="158">
        <f>IF(F110+SUM(E$99:E110)=D$92,F110,D$92-SUM(E$99:E110))</f>
        <v>1165995</v>
      </c>
      <c r="E111" s="165">
        <f>IF(+J96&lt;F110,J96,D111)</f>
        <v>33054</v>
      </c>
      <c r="F111" s="163">
        <f t="shared" si="25"/>
        <v>1132941</v>
      </c>
      <c r="G111" s="163">
        <f t="shared" si="26"/>
        <v>1149468</v>
      </c>
      <c r="H111" s="167">
        <f t="shared" si="27"/>
        <v>178866.9141845917</v>
      </c>
      <c r="I111" s="317">
        <f t="shared" si="28"/>
        <v>178866.9141845917</v>
      </c>
      <c r="J111" s="162">
        <f t="shared" si="18"/>
        <v>0</v>
      </c>
      <c r="K111" s="162"/>
      <c r="L111" s="335"/>
      <c r="M111" s="162">
        <f t="shared" si="19"/>
        <v>0</v>
      </c>
      <c r="N111" s="335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4"/>
        <v/>
      </c>
      <c r="C112" s="157">
        <f>IF(D93="","-",+C111+1)</f>
        <v>2021</v>
      </c>
      <c r="D112" s="158">
        <f>IF(F111+SUM(E$99:E111)=D$92,F111,D$92-SUM(E$99:E111))</f>
        <v>1132941</v>
      </c>
      <c r="E112" s="165">
        <f>IF(+J96&lt;F111,J96,D112)</f>
        <v>33054</v>
      </c>
      <c r="F112" s="163">
        <f t="shared" si="25"/>
        <v>1099887</v>
      </c>
      <c r="G112" s="163">
        <f t="shared" si="26"/>
        <v>1116414</v>
      </c>
      <c r="H112" s="167">
        <f t="shared" si="27"/>
        <v>174673.93093890112</v>
      </c>
      <c r="I112" s="317">
        <f t="shared" si="28"/>
        <v>174673.93093890112</v>
      </c>
      <c r="J112" s="162">
        <f t="shared" si="18"/>
        <v>0</v>
      </c>
      <c r="K112" s="162"/>
      <c r="L112" s="335"/>
      <c r="M112" s="162">
        <f t="shared" si="19"/>
        <v>0</v>
      </c>
      <c r="N112" s="335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4"/>
        <v/>
      </c>
      <c r="C113" s="157">
        <f>IF(D93="","-",+C112+1)</f>
        <v>2022</v>
      </c>
      <c r="D113" s="158">
        <f>IF(F112+SUM(E$99:E112)=D$92,F112,D$92-SUM(E$99:E112))</f>
        <v>1099887</v>
      </c>
      <c r="E113" s="165">
        <f>IF(+J96&lt;F112,J96,D113)</f>
        <v>33054</v>
      </c>
      <c r="F113" s="163">
        <f t="shared" si="25"/>
        <v>1066833</v>
      </c>
      <c r="G113" s="163">
        <f t="shared" si="26"/>
        <v>1083360</v>
      </c>
      <c r="H113" s="167">
        <f t="shared" si="27"/>
        <v>170480.9476932105</v>
      </c>
      <c r="I113" s="317">
        <f t="shared" si="28"/>
        <v>170480.9476932105</v>
      </c>
      <c r="J113" s="162">
        <f t="shared" si="18"/>
        <v>0</v>
      </c>
      <c r="K113" s="162"/>
      <c r="L113" s="335"/>
      <c r="M113" s="162">
        <f t="shared" si="19"/>
        <v>0</v>
      </c>
      <c r="N113" s="335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4"/>
        <v/>
      </c>
      <c r="C114" s="157">
        <f>IF(D93="","-",+C113+1)</f>
        <v>2023</v>
      </c>
      <c r="D114" s="158">
        <f>IF(F113+SUM(E$99:E113)=D$92,F113,D$92-SUM(E$99:E113))</f>
        <v>1066833</v>
      </c>
      <c r="E114" s="165">
        <f>IF(+J96&lt;F113,J96,D114)</f>
        <v>33054</v>
      </c>
      <c r="F114" s="163">
        <f t="shared" si="25"/>
        <v>1033779</v>
      </c>
      <c r="G114" s="163">
        <f t="shared" si="26"/>
        <v>1050306</v>
      </c>
      <c r="H114" s="167">
        <f t="shared" si="27"/>
        <v>166287.96444751989</v>
      </c>
      <c r="I114" s="317">
        <f t="shared" si="28"/>
        <v>166287.96444751989</v>
      </c>
      <c r="J114" s="162">
        <f t="shared" si="18"/>
        <v>0</v>
      </c>
      <c r="K114" s="162"/>
      <c r="L114" s="335"/>
      <c r="M114" s="162">
        <f t="shared" si="19"/>
        <v>0</v>
      </c>
      <c r="N114" s="335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4"/>
        <v/>
      </c>
      <c r="C115" s="157">
        <f>IF(D93="","-",+C114+1)</f>
        <v>2024</v>
      </c>
      <c r="D115" s="158">
        <f>IF(F114+SUM(E$99:E114)=D$92,F114,D$92-SUM(E$99:E114))</f>
        <v>1033779</v>
      </c>
      <c r="E115" s="165">
        <f>IF(+J96&lt;F114,J96,D115)</f>
        <v>33054</v>
      </c>
      <c r="F115" s="163">
        <f t="shared" si="25"/>
        <v>1000725</v>
      </c>
      <c r="G115" s="163">
        <f t="shared" si="26"/>
        <v>1017252</v>
      </c>
      <c r="H115" s="167">
        <f t="shared" si="27"/>
        <v>162094.98120182927</v>
      </c>
      <c r="I115" s="317">
        <f t="shared" si="28"/>
        <v>162094.98120182927</v>
      </c>
      <c r="J115" s="162">
        <f t="shared" si="18"/>
        <v>0</v>
      </c>
      <c r="K115" s="162"/>
      <c r="L115" s="335"/>
      <c r="M115" s="162">
        <f t="shared" si="19"/>
        <v>0</v>
      </c>
      <c r="N115" s="335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4"/>
        <v/>
      </c>
      <c r="C116" s="157">
        <f>IF(D93="","-",+C115+1)</f>
        <v>2025</v>
      </c>
      <c r="D116" s="158">
        <f>IF(F115+SUM(E$99:E115)=D$92,F115,D$92-SUM(E$99:E115))</f>
        <v>1000725</v>
      </c>
      <c r="E116" s="165">
        <f>IF(+J96&lt;F115,J96,D116)</f>
        <v>33054</v>
      </c>
      <c r="F116" s="163">
        <f t="shared" si="25"/>
        <v>967671</v>
      </c>
      <c r="G116" s="163">
        <f t="shared" si="26"/>
        <v>984198</v>
      </c>
      <c r="H116" s="167">
        <f t="shared" si="27"/>
        <v>157901.99795613869</v>
      </c>
      <c r="I116" s="317">
        <f t="shared" si="28"/>
        <v>157901.99795613869</v>
      </c>
      <c r="J116" s="162">
        <f t="shared" si="18"/>
        <v>0</v>
      </c>
      <c r="K116" s="162"/>
      <c r="L116" s="335"/>
      <c r="M116" s="162">
        <f t="shared" si="19"/>
        <v>0</v>
      </c>
      <c r="N116" s="335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4"/>
        <v/>
      </c>
      <c r="C117" s="157">
        <f>IF(D93="","-",+C116+1)</f>
        <v>2026</v>
      </c>
      <c r="D117" s="158">
        <f>IF(F116+SUM(E$99:E116)=D$92,F116,D$92-SUM(E$99:E116))</f>
        <v>967671</v>
      </c>
      <c r="E117" s="165">
        <f>IF(+J96&lt;F116,J96,D117)</f>
        <v>33054</v>
      </c>
      <c r="F117" s="163">
        <f t="shared" si="25"/>
        <v>934617</v>
      </c>
      <c r="G117" s="163">
        <f t="shared" si="26"/>
        <v>951144</v>
      </c>
      <c r="H117" s="167">
        <f t="shared" si="27"/>
        <v>153709.01471044804</v>
      </c>
      <c r="I117" s="317">
        <f t="shared" si="28"/>
        <v>153709.01471044804</v>
      </c>
      <c r="J117" s="162">
        <f t="shared" si="18"/>
        <v>0</v>
      </c>
      <c r="K117" s="162"/>
      <c r="L117" s="335"/>
      <c r="M117" s="162">
        <f t="shared" si="19"/>
        <v>0</v>
      </c>
      <c r="N117" s="335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4"/>
        <v/>
      </c>
      <c r="C118" s="157">
        <f>IF(D93="","-",+C117+1)</f>
        <v>2027</v>
      </c>
      <c r="D118" s="158">
        <f>IF(F117+SUM(E$99:E117)=D$92,F117,D$92-SUM(E$99:E117))</f>
        <v>934617</v>
      </c>
      <c r="E118" s="165">
        <f>IF(+J96&lt;F117,J96,D118)</f>
        <v>33054</v>
      </c>
      <c r="F118" s="163">
        <f t="shared" si="25"/>
        <v>901563</v>
      </c>
      <c r="G118" s="163">
        <f t="shared" si="26"/>
        <v>918090</v>
      </c>
      <c r="H118" s="167">
        <f t="shared" si="27"/>
        <v>149516.03146475746</v>
      </c>
      <c r="I118" s="317">
        <f t="shared" si="28"/>
        <v>149516.03146475746</v>
      </c>
      <c r="J118" s="162">
        <f t="shared" si="18"/>
        <v>0</v>
      </c>
      <c r="K118" s="162"/>
      <c r="L118" s="335"/>
      <c r="M118" s="162">
        <f t="shared" si="19"/>
        <v>0</v>
      </c>
      <c r="N118" s="335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4"/>
        <v/>
      </c>
      <c r="C119" s="157">
        <f>IF(D93="","-",+C118+1)</f>
        <v>2028</v>
      </c>
      <c r="D119" s="158">
        <f>IF(F118+SUM(E$99:E118)=D$92,F118,D$92-SUM(E$99:E118))</f>
        <v>901563</v>
      </c>
      <c r="E119" s="165">
        <f>IF(+J96&lt;F118,J96,D119)</f>
        <v>33054</v>
      </c>
      <c r="F119" s="163">
        <f t="shared" si="25"/>
        <v>868509</v>
      </c>
      <c r="G119" s="163">
        <f t="shared" si="26"/>
        <v>885036</v>
      </c>
      <c r="H119" s="167">
        <f t="shared" si="27"/>
        <v>145323.04821906684</v>
      </c>
      <c r="I119" s="317">
        <f t="shared" si="28"/>
        <v>145323.04821906684</v>
      </c>
      <c r="J119" s="162">
        <f t="shared" si="18"/>
        <v>0</v>
      </c>
      <c r="K119" s="162"/>
      <c r="L119" s="335"/>
      <c r="M119" s="162">
        <f t="shared" si="19"/>
        <v>0</v>
      </c>
      <c r="N119" s="335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4"/>
        <v/>
      </c>
      <c r="C120" s="157">
        <f>IF(D93="","-",+C119+1)</f>
        <v>2029</v>
      </c>
      <c r="D120" s="158">
        <f>IF(F119+SUM(E$99:E119)=D$92,F119,D$92-SUM(E$99:E119))</f>
        <v>868509</v>
      </c>
      <c r="E120" s="165">
        <f>IF(+J96&lt;F119,J96,D120)</f>
        <v>33054</v>
      </c>
      <c r="F120" s="163">
        <f t="shared" si="25"/>
        <v>835455</v>
      </c>
      <c r="G120" s="163">
        <f t="shared" si="26"/>
        <v>851982</v>
      </c>
      <c r="H120" s="167">
        <f t="shared" si="27"/>
        <v>141130.06497337623</v>
      </c>
      <c r="I120" s="317">
        <f t="shared" si="28"/>
        <v>141130.06497337623</v>
      </c>
      <c r="J120" s="162">
        <f t="shared" si="18"/>
        <v>0</v>
      </c>
      <c r="K120" s="162"/>
      <c r="L120" s="335"/>
      <c r="M120" s="162">
        <f t="shared" si="19"/>
        <v>0</v>
      </c>
      <c r="N120" s="335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4"/>
        <v/>
      </c>
      <c r="C121" s="157">
        <f>IF(D93="","-",+C120+1)</f>
        <v>2030</v>
      </c>
      <c r="D121" s="158">
        <f>IF(F120+SUM(E$99:E120)=D$92,F120,D$92-SUM(E$99:E120))</f>
        <v>835455</v>
      </c>
      <c r="E121" s="165">
        <f>IF(+J96&lt;F120,J96,D121)</f>
        <v>33054</v>
      </c>
      <c r="F121" s="163">
        <f t="shared" si="25"/>
        <v>802401</v>
      </c>
      <c r="G121" s="163">
        <f t="shared" si="26"/>
        <v>818928</v>
      </c>
      <c r="H121" s="167">
        <f t="shared" si="27"/>
        <v>136937.08172768561</v>
      </c>
      <c r="I121" s="317">
        <f t="shared" si="28"/>
        <v>136937.08172768561</v>
      </c>
      <c r="J121" s="162">
        <f t="shared" si="18"/>
        <v>0</v>
      </c>
      <c r="K121" s="162"/>
      <c r="L121" s="335"/>
      <c r="M121" s="162">
        <f t="shared" si="19"/>
        <v>0</v>
      </c>
      <c r="N121" s="335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4"/>
        <v/>
      </c>
      <c r="C122" s="157">
        <f>IF(D93="","-",+C121+1)</f>
        <v>2031</v>
      </c>
      <c r="D122" s="158">
        <f>IF(F121+SUM(E$99:E121)=D$92,F121,D$92-SUM(E$99:E121))</f>
        <v>802401</v>
      </c>
      <c r="E122" s="165">
        <f>IF(+J96&lt;F121,J96,D122)</f>
        <v>33054</v>
      </c>
      <c r="F122" s="163">
        <f t="shared" si="25"/>
        <v>769347</v>
      </c>
      <c r="G122" s="163">
        <f t="shared" si="26"/>
        <v>785874</v>
      </c>
      <c r="H122" s="167">
        <f t="shared" si="27"/>
        <v>132744.098481995</v>
      </c>
      <c r="I122" s="317">
        <f t="shared" si="28"/>
        <v>132744.098481995</v>
      </c>
      <c r="J122" s="162">
        <f t="shared" si="18"/>
        <v>0</v>
      </c>
      <c r="K122" s="162"/>
      <c r="L122" s="335"/>
      <c r="M122" s="162">
        <f t="shared" si="19"/>
        <v>0</v>
      </c>
      <c r="N122" s="335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4"/>
        <v/>
      </c>
      <c r="C123" s="157">
        <f>IF(D93="","-",+C122+1)</f>
        <v>2032</v>
      </c>
      <c r="D123" s="158">
        <f>IF(F122+SUM(E$99:E122)=D$92,F122,D$92-SUM(E$99:E122))</f>
        <v>769347</v>
      </c>
      <c r="E123" s="165">
        <f>IF(+J96&lt;F122,J96,D123)</f>
        <v>33054</v>
      </c>
      <c r="F123" s="163">
        <f t="shared" si="25"/>
        <v>736293</v>
      </c>
      <c r="G123" s="163">
        <f t="shared" si="26"/>
        <v>752820</v>
      </c>
      <c r="H123" s="167">
        <f t="shared" si="27"/>
        <v>128551.11523630439</v>
      </c>
      <c r="I123" s="317">
        <f t="shared" si="28"/>
        <v>128551.11523630439</v>
      </c>
      <c r="J123" s="162">
        <f t="shared" si="18"/>
        <v>0</v>
      </c>
      <c r="K123" s="162"/>
      <c r="L123" s="335"/>
      <c r="M123" s="162">
        <f t="shared" si="19"/>
        <v>0</v>
      </c>
      <c r="N123" s="335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4"/>
        <v/>
      </c>
      <c r="C124" s="157">
        <f>IF(D93="","-",+C123+1)</f>
        <v>2033</v>
      </c>
      <c r="D124" s="158">
        <f>IF(F123+SUM(E$99:E123)=D$92,F123,D$92-SUM(E$99:E123))</f>
        <v>736293</v>
      </c>
      <c r="E124" s="165">
        <f>IF(+J96&lt;F123,J96,D124)</f>
        <v>33054</v>
      </c>
      <c r="F124" s="163">
        <f t="shared" si="25"/>
        <v>703239</v>
      </c>
      <c r="G124" s="163">
        <f t="shared" si="26"/>
        <v>719766</v>
      </c>
      <c r="H124" s="167">
        <f t="shared" si="27"/>
        <v>124358.13199061378</v>
      </c>
      <c r="I124" s="317">
        <f t="shared" si="28"/>
        <v>124358.13199061378</v>
      </c>
      <c r="J124" s="162">
        <f t="shared" si="18"/>
        <v>0</v>
      </c>
      <c r="K124" s="162"/>
      <c r="L124" s="335"/>
      <c r="M124" s="162">
        <f t="shared" si="19"/>
        <v>0</v>
      </c>
      <c r="N124" s="335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4"/>
        <v/>
      </c>
      <c r="C125" s="157">
        <f>IF(D93="","-",+C124+1)</f>
        <v>2034</v>
      </c>
      <c r="D125" s="158">
        <f>IF(F124+SUM(E$99:E124)=D$92,F124,D$92-SUM(E$99:E124))</f>
        <v>703239</v>
      </c>
      <c r="E125" s="165">
        <f>IF(+J96&lt;F124,J96,D125)</f>
        <v>33054</v>
      </c>
      <c r="F125" s="163">
        <f t="shared" si="25"/>
        <v>670185</v>
      </c>
      <c r="G125" s="163">
        <f t="shared" si="26"/>
        <v>686712</v>
      </c>
      <c r="H125" s="167">
        <f t="shared" si="27"/>
        <v>120165.14874492316</v>
      </c>
      <c r="I125" s="317">
        <f t="shared" si="28"/>
        <v>120165.14874492316</v>
      </c>
      <c r="J125" s="162">
        <f t="shared" si="18"/>
        <v>0</v>
      </c>
      <c r="K125" s="162"/>
      <c r="L125" s="335"/>
      <c r="M125" s="162">
        <f t="shared" si="19"/>
        <v>0</v>
      </c>
      <c r="N125" s="335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4"/>
        <v/>
      </c>
      <c r="C126" s="157">
        <f>IF(D93="","-",+C125+1)</f>
        <v>2035</v>
      </c>
      <c r="D126" s="158">
        <f>IF(F125+SUM(E$99:E125)=D$92,F125,D$92-SUM(E$99:E125))</f>
        <v>670185</v>
      </c>
      <c r="E126" s="165">
        <f>IF(+J96&lt;F125,J96,D126)</f>
        <v>33054</v>
      </c>
      <c r="F126" s="163">
        <f t="shared" si="25"/>
        <v>637131</v>
      </c>
      <c r="G126" s="163">
        <f t="shared" si="26"/>
        <v>653658</v>
      </c>
      <c r="H126" s="167">
        <f t="shared" si="27"/>
        <v>115972.16549923256</v>
      </c>
      <c r="I126" s="317">
        <f t="shared" si="28"/>
        <v>115972.16549923256</v>
      </c>
      <c r="J126" s="162">
        <f t="shared" si="18"/>
        <v>0</v>
      </c>
      <c r="K126" s="162"/>
      <c r="L126" s="335"/>
      <c r="M126" s="162">
        <f t="shared" si="19"/>
        <v>0</v>
      </c>
      <c r="N126" s="335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4"/>
        <v/>
      </c>
      <c r="C127" s="157">
        <f>IF(D93="","-",+C126+1)</f>
        <v>2036</v>
      </c>
      <c r="D127" s="158">
        <f>IF(F126+SUM(E$99:E126)=D$92,F126,D$92-SUM(E$99:E126))</f>
        <v>637131</v>
      </c>
      <c r="E127" s="165">
        <f>IF(+J96&lt;F126,J96,D127)</f>
        <v>33054</v>
      </c>
      <c r="F127" s="163">
        <f t="shared" si="25"/>
        <v>604077</v>
      </c>
      <c r="G127" s="163">
        <f t="shared" si="26"/>
        <v>620604</v>
      </c>
      <c r="H127" s="167">
        <f t="shared" si="27"/>
        <v>111779.18225354195</v>
      </c>
      <c r="I127" s="317">
        <f t="shared" si="28"/>
        <v>111779.18225354195</v>
      </c>
      <c r="J127" s="162">
        <f t="shared" si="18"/>
        <v>0</v>
      </c>
      <c r="K127" s="162"/>
      <c r="L127" s="335"/>
      <c r="M127" s="162">
        <f t="shared" si="19"/>
        <v>0</v>
      </c>
      <c r="N127" s="335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4"/>
        <v/>
      </c>
      <c r="C128" s="157">
        <f>IF(D93="","-",+C127+1)</f>
        <v>2037</v>
      </c>
      <c r="D128" s="158">
        <f>IF(F127+SUM(E$99:E127)=D$92,F127,D$92-SUM(E$99:E127))</f>
        <v>604077</v>
      </c>
      <c r="E128" s="165">
        <f>IF(+J96&lt;F127,J96,D128)</f>
        <v>33054</v>
      </c>
      <c r="F128" s="163">
        <f t="shared" si="25"/>
        <v>571023</v>
      </c>
      <c r="G128" s="163">
        <f t="shared" si="26"/>
        <v>587550</v>
      </c>
      <c r="H128" s="167">
        <f t="shared" si="27"/>
        <v>107586.19900785133</v>
      </c>
      <c r="I128" s="317">
        <f t="shared" si="28"/>
        <v>107586.19900785133</v>
      </c>
      <c r="J128" s="162">
        <f t="shared" si="18"/>
        <v>0</v>
      </c>
      <c r="K128" s="162"/>
      <c r="L128" s="335"/>
      <c r="M128" s="162">
        <f t="shared" si="19"/>
        <v>0</v>
      </c>
      <c r="N128" s="335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4"/>
        <v/>
      </c>
      <c r="C129" s="157">
        <f>IF(D93="","-",+C128+1)</f>
        <v>2038</v>
      </c>
      <c r="D129" s="158">
        <f>IF(F128+SUM(E$99:E128)=D$92,F128,D$92-SUM(E$99:E128))</f>
        <v>571023</v>
      </c>
      <c r="E129" s="165">
        <f>IF(+J96&lt;F128,J96,D129)</f>
        <v>33054</v>
      </c>
      <c r="F129" s="163">
        <f t="shared" si="25"/>
        <v>537969</v>
      </c>
      <c r="G129" s="163">
        <f t="shared" si="26"/>
        <v>554496</v>
      </c>
      <c r="H129" s="167">
        <f t="shared" si="27"/>
        <v>103393.21576216073</v>
      </c>
      <c r="I129" s="317">
        <f t="shared" si="28"/>
        <v>103393.21576216073</v>
      </c>
      <c r="J129" s="162">
        <f t="shared" si="18"/>
        <v>0</v>
      </c>
      <c r="K129" s="162"/>
      <c r="L129" s="335"/>
      <c r="M129" s="162">
        <f t="shared" si="19"/>
        <v>0</v>
      </c>
      <c r="N129" s="335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4"/>
        <v/>
      </c>
      <c r="C130" s="157">
        <f>IF(D93="","-",+C129+1)</f>
        <v>2039</v>
      </c>
      <c r="D130" s="158">
        <f>IF(F129+SUM(E$99:E129)=D$92,F129,D$92-SUM(E$99:E129))</f>
        <v>537969</v>
      </c>
      <c r="E130" s="165">
        <f>IF(+J96&lt;F129,J96,D130)</f>
        <v>33054</v>
      </c>
      <c r="F130" s="163">
        <f t="shared" si="25"/>
        <v>504915</v>
      </c>
      <c r="G130" s="163">
        <f t="shared" si="26"/>
        <v>521442</v>
      </c>
      <c r="H130" s="167">
        <f t="shared" si="27"/>
        <v>99200.232516470118</v>
      </c>
      <c r="I130" s="317">
        <f t="shared" si="28"/>
        <v>99200.232516470118</v>
      </c>
      <c r="J130" s="162">
        <f t="shared" si="18"/>
        <v>0</v>
      </c>
      <c r="K130" s="162"/>
      <c r="L130" s="335"/>
      <c r="M130" s="162">
        <f t="shared" si="19"/>
        <v>0</v>
      </c>
      <c r="N130" s="335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4"/>
        <v/>
      </c>
      <c r="C131" s="157">
        <f>IF(D93="","-",+C130+1)</f>
        <v>2040</v>
      </c>
      <c r="D131" s="158">
        <f>IF(F130+SUM(E$99:E130)=D$92,F130,D$92-SUM(E$99:E130))</f>
        <v>504915</v>
      </c>
      <c r="E131" s="165">
        <f>IF(+J96&lt;F130,J96,D131)</f>
        <v>33054</v>
      </c>
      <c r="F131" s="163">
        <f t="shared" ref="F131:F154" si="29">+D131-E131</f>
        <v>471861</v>
      </c>
      <c r="G131" s="163">
        <f t="shared" ref="G131:G154" si="30">+(F131+D131)/2</f>
        <v>488388</v>
      </c>
      <c r="H131" s="167">
        <f t="shared" si="27"/>
        <v>95007.249270779517</v>
      </c>
      <c r="I131" s="317">
        <f t="shared" si="28"/>
        <v>95007.249270779517</v>
      </c>
      <c r="J131" s="162">
        <f t="shared" ref="J131:J154" si="31">+I131-H131</f>
        <v>0</v>
      </c>
      <c r="K131" s="162"/>
      <c r="L131" s="335"/>
      <c r="M131" s="162">
        <f t="shared" ref="M131:M154" si="32">IF(L131&lt;&gt;0,+H131-L131,0)</f>
        <v>0</v>
      </c>
      <c r="N131" s="335"/>
      <c r="O131" s="162">
        <f t="shared" ref="O131:O154" si="33">IF(N131&lt;&gt;0,+I131-N131,0)</f>
        <v>0</v>
      </c>
      <c r="P131" s="162">
        <f t="shared" ref="P131:P154" si="34">+O131-M131</f>
        <v>0</v>
      </c>
    </row>
    <row r="132" spans="2:16">
      <c r="B132" s="9" t="str">
        <f t="shared" si="24"/>
        <v/>
      </c>
      <c r="C132" s="157">
        <f>IF(D93="","-",+C131+1)</f>
        <v>2041</v>
      </c>
      <c r="D132" s="158">
        <f>IF(F131+SUM(E$99:E131)=D$92,F131,D$92-SUM(E$99:E131))</f>
        <v>471861</v>
      </c>
      <c r="E132" s="165">
        <f>IF(+J96&lt;F131,J96,D132)</f>
        <v>33054</v>
      </c>
      <c r="F132" s="163">
        <f t="shared" si="29"/>
        <v>438807</v>
      </c>
      <c r="G132" s="163">
        <f t="shared" si="30"/>
        <v>455334</v>
      </c>
      <c r="H132" s="167">
        <f t="shared" si="27"/>
        <v>90814.266025088902</v>
      </c>
      <c r="I132" s="317">
        <f t="shared" si="28"/>
        <v>90814.266025088902</v>
      </c>
      <c r="J132" s="162">
        <f t="shared" si="31"/>
        <v>0</v>
      </c>
      <c r="K132" s="162"/>
      <c r="L132" s="335"/>
      <c r="M132" s="162">
        <f t="shared" si="32"/>
        <v>0</v>
      </c>
      <c r="N132" s="335"/>
      <c r="O132" s="162">
        <f t="shared" si="33"/>
        <v>0</v>
      </c>
      <c r="P132" s="162">
        <f t="shared" si="34"/>
        <v>0</v>
      </c>
    </row>
    <row r="133" spans="2:16">
      <c r="B133" s="9" t="str">
        <f t="shared" si="24"/>
        <v/>
      </c>
      <c r="C133" s="157">
        <f>IF(D93="","-",+C132+1)</f>
        <v>2042</v>
      </c>
      <c r="D133" s="158">
        <f>IF(F132+SUM(E$99:E132)=D$92,F132,D$92-SUM(E$99:E132))</f>
        <v>438807</v>
      </c>
      <c r="E133" s="165">
        <f>IF(+J96&lt;F132,J96,D133)</f>
        <v>33054</v>
      </c>
      <c r="F133" s="163">
        <f t="shared" si="29"/>
        <v>405753</v>
      </c>
      <c r="G133" s="163">
        <f t="shared" si="30"/>
        <v>422280</v>
      </c>
      <c r="H133" s="167">
        <f t="shared" si="27"/>
        <v>86621.282779398287</v>
      </c>
      <c r="I133" s="317">
        <f t="shared" si="28"/>
        <v>86621.282779398287</v>
      </c>
      <c r="J133" s="162">
        <f t="shared" si="31"/>
        <v>0</v>
      </c>
      <c r="K133" s="162"/>
      <c r="L133" s="335"/>
      <c r="M133" s="162">
        <f t="shared" si="32"/>
        <v>0</v>
      </c>
      <c r="N133" s="335"/>
      <c r="O133" s="162">
        <f t="shared" si="33"/>
        <v>0</v>
      </c>
      <c r="P133" s="162">
        <f t="shared" si="34"/>
        <v>0</v>
      </c>
    </row>
    <row r="134" spans="2:16">
      <c r="B134" s="9" t="str">
        <f t="shared" si="24"/>
        <v/>
      </c>
      <c r="C134" s="157">
        <f>IF(D93="","-",+C133+1)</f>
        <v>2043</v>
      </c>
      <c r="D134" s="158">
        <f>IF(F133+SUM(E$99:E133)=D$92,F133,D$92-SUM(E$99:E133))</f>
        <v>405753</v>
      </c>
      <c r="E134" s="165">
        <f>IF(+J96&lt;F133,J96,D134)</f>
        <v>33054</v>
      </c>
      <c r="F134" s="163">
        <f t="shared" si="29"/>
        <v>372699</v>
      </c>
      <c r="G134" s="163">
        <f t="shared" si="30"/>
        <v>389226</v>
      </c>
      <c r="H134" s="167">
        <f t="shared" si="27"/>
        <v>82428.299533707672</v>
      </c>
      <c r="I134" s="317">
        <f t="shared" si="28"/>
        <v>82428.299533707672</v>
      </c>
      <c r="J134" s="162">
        <f t="shared" si="31"/>
        <v>0</v>
      </c>
      <c r="K134" s="162"/>
      <c r="L134" s="335"/>
      <c r="M134" s="162">
        <f t="shared" si="32"/>
        <v>0</v>
      </c>
      <c r="N134" s="335"/>
      <c r="O134" s="162">
        <f t="shared" si="33"/>
        <v>0</v>
      </c>
      <c r="P134" s="162">
        <f t="shared" si="34"/>
        <v>0</v>
      </c>
    </row>
    <row r="135" spans="2:16">
      <c r="B135" s="9" t="str">
        <f t="shared" si="24"/>
        <v/>
      </c>
      <c r="C135" s="157">
        <f>IF(D93="","-",+C134+1)</f>
        <v>2044</v>
      </c>
      <c r="D135" s="158">
        <f>IF(F134+SUM(E$99:E134)=D$92,F134,D$92-SUM(E$99:E134))</f>
        <v>372699</v>
      </c>
      <c r="E135" s="165">
        <f>IF(+J96&lt;F134,J96,D135)</f>
        <v>33054</v>
      </c>
      <c r="F135" s="163">
        <f t="shared" si="29"/>
        <v>339645</v>
      </c>
      <c r="G135" s="163">
        <f t="shared" si="30"/>
        <v>356172</v>
      </c>
      <c r="H135" s="167">
        <f t="shared" si="27"/>
        <v>78235.316288017057</v>
      </c>
      <c r="I135" s="317">
        <f t="shared" si="28"/>
        <v>78235.316288017057</v>
      </c>
      <c r="J135" s="162">
        <f t="shared" si="31"/>
        <v>0</v>
      </c>
      <c r="K135" s="162"/>
      <c r="L135" s="335"/>
      <c r="M135" s="162">
        <f t="shared" si="32"/>
        <v>0</v>
      </c>
      <c r="N135" s="335"/>
      <c r="O135" s="162">
        <f t="shared" si="33"/>
        <v>0</v>
      </c>
      <c r="P135" s="162">
        <f t="shared" si="34"/>
        <v>0</v>
      </c>
    </row>
    <row r="136" spans="2:16">
      <c r="B136" s="9" t="str">
        <f t="shared" si="24"/>
        <v/>
      </c>
      <c r="C136" s="157">
        <f>IF(D93="","-",+C135+1)</f>
        <v>2045</v>
      </c>
      <c r="D136" s="158">
        <f>IF(F135+SUM(E$99:E135)=D$92,F135,D$92-SUM(E$99:E135))</f>
        <v>339645</v>
      </c>
      <c r="E136" s="165">
        <f>IF(+J96&lt;F135,J96,D136)</f>
        <v>33054</v>
      </c>
      <c r="F136" s="163">
        <f t="shared" si="29"/>
        <v>306591</v>
      </c>
      <c r="G136" s="163">
        <f t="shared" si="30"/>
        <v>323118</v>
      </c>
      <c r="H136" s="167">
        <f t="shared" si="27"/>
        <v>74042.333042326456</v>
      </c>
      <c r="I136" s="317">
        <f t="shared" si="28"/>
        <v>74042.333042326456</v>
      </c>
      <c r="J136" s="162">
        <f t="shared" si="31"/>
        <v>0</v>
      </c>
      <c r="K136" s="162"/>
      <c r="L136" s="335"/>
      <c r="M136" s="162">
        <f t="shared" si="32"/>
        <v>0</v>
      </c>
      <c r="N136" s="335"/>
      <c r="O136" s="162">
        <f t="shared" si="33"/>
        <v>0</v>
      </c>
      <c r="P136" s="162">
        <f t="shared" si="34"/>
        <v>0</v>
      </c>
    </row>
    <row r="137" spans="2:16">
      <c r="B137" s="9" t="str">
        <f t="shared" si="24"/>
        <v/>
      </c>
      <c r="C137" s="157">
        <f>IF(D93="","-",+C136+1)</f>
        <v>2046</v>
      </c>
      <c r="D137" s="158">
        <f>IF(F136+SUM(E$99:E136)=D$92,F136,D$92-SUM(E$99:E136))</f>
        <v>306591</v>
      </c>
      <c r="E137" s="165">
        <f>IF(+J96&lt;F136,J96,D137)</f>
        <v>33054</v>
      </c>
      <c r="F137" s="163">
        <f t="shared" si="29"/>
        <v>273537</v>
      </c>
      <c r="G137" s="163">
        <f t="shared" si="30"/>
        <v>290064</v>
      </c>
      <c r="H137" s="167">
        <f t="shared" si="27"/>
        <v>69849.349796635855</v>
      </c>
      <c r="I137" s="317">
        <f t="shared" si="28"/>
        <v>69849.349796635855</v>
      </c>
      <c r="J137" s="162">
        <f t="shared" si="31"/>
        <v>0</v>
      </c>
      <c r="K137" s="162"/>
      <c r="L137" s="335"/>
      <c r="M137" s="162">
        <f t="shared" si="32"/>
        <v>0</v>
      </c>
      <c r="N137" s="335"/>
      <c r="O137" s="162">
        <f t="shared" si="33"/>
        <v>0</v>
      </c>
      <c r="P137" s="162">
        <f t="shared" si="34"/>
        <v>0</v>
      </c>
    </row>
    <row r="138" spans="2:16">
      <c r="B138" s="9" t="str">
        <f t="shared" si="24"/>
        <v/>
      </c>
      <c r="C138" s="157">
        <f>IF(D93="","-",+C137+1)</f>
        <v>2047</v>
      </c>
      <c r="D138" s="158">
        <f>IF(F137+SUM(E$99:E137)=D$92,F137,D$92-SUM(E$99:E137))</f>
        <v>273537</v>
      </c>
      <c r="E138" s="165">
        <f>IF(+J96&lt;F137,J96,D138)</f>
        <v>33054</v>
      </c>
      <c r="F138" s="163">
        <f t="shared" si="29"/>
        <v>240483</v>
      </c>
      <c r="G138" s="163">
        <f t="shared" si="30"/>
        <v>257010</v>
      </c>
      <c r="H138" s="167">
        <f t="shared" si="27"/>
        <v>65656.36655094524</v>
      </c>
      <c r="I138" s="317">
        <f t="shared" si="28"/>
        <v>65656.36655094524</v>
      </c>
      <c r="J138" s="162">
        <f t="shared" si="31"/>
        <v>0</v>
      </c>
      <c r="K138" s="162"/>
      <c r="L138" s="335"/>
      <c r="M138" s="162">
        <f t="shared" si="32"/>
        <v>0</v>
      </c>
      <c r="N138" s="335"/>
      <c r="O138" s="162">
        <f t="shared" si="33"/>
        <v>0</v>
      </c>
      <c r="P138" s="162">
        <f t="shared" si="34"/>
        <v>0</v>
      </c>
    </row>
    <row r="139" spans="2:16">
      <c r="B139" s="9" t="str">
        <f t="shared" si="24"/>
        <v/>
      </c>
      <c r="C139" s="157">
        <f>IF(D93="","-",+C138+1)</f>
        <v>2048</v>
      </c>
      <c r="D139" s="158">
        <f>IF(F138+SUM(E$99:E138)=D$92,F138,D$92-SUM(E$99:E138))</f>
        <v>240483</v>
      </c>
      <c r="E139" s="165">
        <f>IF(+J96&lt;F138,J96,D139)</f>
        <v>33054</v>
      </c>
      <c r="F139" s="163">
        <f t="shared" si="29"/>
        <v>207429</v>
      </c>
      <c r="G139" s="163">
        <f t="shared" si="30"/>
        <v>223956</v>
      </c>
      <c r="H139" s="167">
        <f t="shared" si="27"/>
        <v>61463.383305254625</v>
      </c>
      <c r="I139" s="317">
        <f t="shared" si="28"/>
        <v>61463.383305254625</v>
      </c>
      <c r="J139" s="162">
        <f t="shared" si="31"/>
        <v>0</v>
      </c>
      <c r="K139" s="162"/>
      <c r="L139" s="335"/>
      <c r="M139" s="162">
        <f t="shared" si="32"/>
        <v>0</v>
      </c>
      <c r="N139" s="335"/>
      <c r="O139" s="162">
        <f t="shared" si="33"/>
        <v>0</v>
      </c>
      <c r="P139" s="162">
        <f t="shared" si="34"/>
        <v>0</v>
      </c>
    </row>
    <row r="140" spans="2:16">
      <c r="B140" s="9" t="str">
        <f t="shared" si="24"/>
        <v/>
      </c>
      <c r="C140" s="157">
        <f>IF(D93="","-",+C139+1)</f>
        <v>2049</v>
      </c>
      <c r="D140" s="158">
        <f>IF(F139+SUM(E$99:E139)=D$92,F139,D$92-SUM(E$99:E139))</f>
        <v>207429</v>
      </c>
      <c r="E140" s="165">
        <f>IF(+J96&lt;F139,J96,D140)</f>
        <v>33054</v>
      </c>
      <c r="F140" s="163">
        <f t="shared" si="29"/>
        <v>174375</v>
      </c>
      <c r="G140" s="163">
        <f t="shared" si="30"/>
        <v>190902</v>
      </c>
      <c r="H140" s="167">
        <f t="shared" si="27"/>
        <v>57270.40005956401</v>
      </c>
      <c r="I140" s="317">
        <f t="shared" si="28"/>
        <v>57270.40005956401</v>
      </c>
      <c r="J140" s="162">
        <f t="shared" si="31"/>
        <v>0</v>
      </c>
      <c r="K140" s="162"/>
      <c r="L140" s="335"/>
      <c r="M140" s="162">
        <f t="shared" si="32"/>
        <v>0</v>
      </c>
      <c r="N140" s="335"/>
      <c r="O140" s="162">
        <f t="shared" si="33"/>
        <v>0</v>
      </c>
      <c r="P140" s="162">
        <f t="shared" si="34"/>
        <v>0</v>
      </c>
    </row>
    <row r="141" spans="2:16">
      <c r="B141" s="9" t="str">
        <f t="shared" si="24"/>
        <v/>
      </c>
      <c r="C141" s="157">
        <f>IF(D93="","-",+C140+1)</f>
        <v>2050</v>
      </c>
      <c r="D141" s="158">
        <f>IF(F140+SUM(E$99:E140)=D$92,F140,D$92-SUM(E$99:E140))</f>
        <v>174375</v>
      </c>
      <c r="E141" s="165">
        <f>IF(+J96&lt;F140,J96,D141)</f>
        <v>33054</v>
      </c>
      <c r="F141" s="163">
        <f t="shared" si="29"/>
        <v>141321</v>
      </c>
      <c r="G141" s="163">
        <f t="shared" si="30"/>
        <v>157848</v>
      </c>
      <c r="H141" s="167">
        <f t="shared" si="27"/>
        <v>53077.416813873402</v>
      </c>
      <c r="I141" s="317">
        <f t="shared" si="28"/>
        <v>53077.416813873402</v>
      </c>
      <c r="J141" s="162">
        <f t="shared" si="31"/>
        <v>0</v>
      </c>
      <c r="K141" s="162"/>
      <c r="L141" s="335"/>
      <c r="M141" s="162">
        <f t="shared" si="32"/>
        <v>0</v>
      </c>
      <c r="N141" s="335"/>
      <c r="O141" s="162">
        <f t="shared" si="33"/>
        <v>0</v>
      </c>
      <c r="P141" s="162">
        <f t="shared" si="34"/>
        <v>0</v>
      </c>
    </row>
    <row r="142" spans="2:16">
      <c r="B142" s="9" t="str">
        <f t="shared" si="24"/>
        <v/>
      </c>
      <c r="C142" s="157">
        <f>IF(D93="","-",+C141+1)</f>
        <v>2051</v>
      </c>
      <c r="D142" s="158">
        <f>IF(F141+SUM(E$99:E141)=D$92,F141,D$92-SUM(E$99:E141))</f>
        <v>141321</v>
      </c>
      <c r="E142" s="165">
        <f>IF(+J96&lt;F141,J96,D142)</f>
        <v>33054</v>
      </c>
      <c r="F142" s="163">
        <f t="shared" si="29"/>
        <v>108267</v>
      </c>
      <c r="G142" s="163">
        <f t="shared" si="30"/>
        <v>124794</v>
      </c>
      <c r="H142" s="167">
        <f t="shared" si="27"/>
        <v>48884.433568182794</v>
      </c>
      <c r="I142" s="317">
        <f t="shared" si="28"/>
        <v>48884.433568182794</v>
      </c>
      <c r="J142" s="162">
        <f t="shared" si="31"/>
        <v>0</v>
      </c>
      <c r="K142" s="162"/>
      <c r="L142" s="335"/>
      <c r="M142" s="162">
        <f t="shared" si="32"/>
        <v>0</v>
      </c>
      <c r="N142" s="335"/>
      <c r="O142" s="162">
        <f t="shared" si="33"/>
        <v>0</v>
      </c>
      <c r="P142" s="162">
        <f t="shared" si="34"/>
        <v>0</v>
      </c>
    </row>
    <row r="143" spans="2:16">
      <c r="B143" s="9" t="str">
        <f t="shared" si="24"/>
        <v/>
      </c>
      <c r="C143" s="157">
        <f>IF(D93="","-",+C142+1)</f>
        <v>2052</v>
      </c>
      <c r="D143" s="158">
        <f>IF(F142+SUM(E$99:E142)=D$92,F142,D$92-SUM(E$99:E142))</f>
        <v>108267</v>
      </c>
      <c r="E143" s="165">
        <f>IF(+J96&lt;F142,J96,D143)</f>
        <v>33054</v>
      </c>
      <c r="F143" s="163">
        <f t="shared" si="29"/>
        <v>75213</v>
      </c>
      <c r="G143" s="163">
        <f t="shared" si="30"/>
        <v>91740</v>
      </c>
      <c r="H143" s="167">
        <f t="shared" si="27"/>
        <v>44691.450322492179</v>
      </c>
      <c r="I143" s="317">
        <f t="shared" si="28"/>
        <v>44691.450322492179</v>
      </c>
      <c r="J143" s="162">
        <f t="shared" si="31"/>
        <v>0</v>
      </c>
      <c r="K143" s="162"/>
      <c r="L143" s="335"/>
      <c r="M143" s="162">
        <f t="shared" si="32"/>
        <v>0</v>
      </c>
      <c r="N143" s="335"/>
      <c r="O143" s="162">
        <f t="shared" si="33"/>
        <v>0</v>
      </c>
      <c r="P143" s="162">
        <f t="shared" si="34"/>
        <v>0</v>
      </c>
    </row>
    <row r="144" spans="2:16">
      <c r="B144" s="9" t="str">
        <f t="shared" si="24"/>
        <v/>
      </c>
      <c r="C144" s="157">
        <f>IF(D93="","-",+C143+1)</f>
        <v>2053</v>
      </c>
      <c r="D144" s="158">
        <f>IF(F143+SUM(E$99:E143)=D$92,F143,D$92-SUM(E$99:E143))</f>
        <v>75213</v>
      </c>
      <c r="E144" s="165">
        <f>IF(+J96&lt;F143,J96,D144)</f>
        <v>33054</v>
      </c>
      <c r="F144" s="163">
        <f t="shared" si="29"/>
        <v>42159</v>
      </c>
      <c r="G144" s="163">
        <f t="shared" si="30"/>
        <v>58686</v>
      </c>
      <c r="H144" s="167">
        <f t="shared" si="27"/>
        <v>40498.467076801571</v>
      </c>
      <c r="I144" s="317">
        <f t="shared" si="28"/>
        <v>40498.467076801571</v>
      </c>
      <c r="J144" s="162">
        <f t="shared" si="31"/>
        <v>0</v>
      </c>
      <c r="K144" s="162"/>
      <c r="L144" s="335"/>
      <c r="M144" s="162">
        <f t="shared" si="32"/>
        <v>0</v>
      </c>
      <c r="N144" s="335"/>
      <c r="O144" s="162">
        <f t="shared" si="33"/>
        <v>0</v>
      </c>
      <c r="P144" s="162">
        <f t="shared" si="34"/>
        <v>0</v>
      </c>
    </row>
    <row r="145" spans="2:16">
      <c r="B145" s="9" t="str">
        <f t="shared" si="24"/>
        <v/>
      </c>
      <c r="C145" s="157">
        <f>IF(D93="","-",+C144+1)</f>
        <v>2054</v>
      </c>
      <c r="D145" s="158">
        <f>IF(F144+SUM(E$99:E144)=D$92,F144,D$92-SUM(E$99:E144))</f>
        <v>42159</v>
      </c>
      <c r="E145" s="165">
        <f>IF(+J96&lt;F144,J96,D145)</f>
        <v>33054</v>
      </c>
      <c r="F145" s="163">
        <f t="shared" si="29"/>
        <v>9105</v>
      </c>
      <c r="G145" s="163">
        <f t="shared" si="30"/>
        <v>25632</v>
      </c>
      <c r="H145" s="167">
        <f t="shared" si="27"/>
        <v>36305.483831110963</v>
      </c>
      <c r="I145" s="317">
        <f t="shared" si="28"/>
        <v>36305.483831110963</v>
      </c>
      <c r="J145" s="162">
        <f t="shared" si="31"/>
        <v>0</v>
      </c>
      <c r="K145" s="162"/>
      <c r="L145" s="335"/>
      <c r="M145" s="162">
        <f t="shared" si="32"/>
        <v>0</v>
      </c>
      <c r="N145" s="335"/>
      <c r="O145" s="162">
        <f t="shared" si="33"/>
        <v>0</v>
      </c>
      <c r="P145" s="162">
        <f t="shared" si="34"/>
        <v>0</v>
      </c>
    </row>
    <row r="146" spans="2:16">
      <c r="B146" s="9" t="str">
        <f t="shared" si="24"/>
        <v/>
      </c>
      <c r="C146" s="157">
        <f>IF(D93="","-",+C145+1)</f>
        <v>2055</v>
      </c>
      <c r="D146" s="158">
        <f>IF(F145+SUM(E$99:E145)=D$92,F145,D$92-SUM(E$99:E145))</f>
        <v>9105</v>
      </c>
      <c r="E146" s="165">
        <f>IF(+J96&lt;F145,J96,D146)</f>
        <v>9105</v>
      </c>
      <c r="F146" s="163">
        <f t="shared" si="29"/>
        <v>0</v>
      </c>
      <c r="G146" s="163">
        <f t="shared" si="30"/>
        <v>4552.5</v>
      </c>
      <c r="H146" s="167">
        <f t="shared" si="27"/>
        <v>9682.4961041328279</v>
      </c>
      <c r="I146" s="317">
        <f t="shared" si="28"/>
        <v>9682.4961041328279</v>
      </c>
      <c r="J146" s="162">
        <f t="shared" si="31"/>
        <v>0</v>
      </c>
      <c r="K146" s="162"/>
      <c r="L146" s="335"/>
      <c r="M146" s="162">
        <f t="shared" si="32"/>
        <v>0</v>
      </c>
      <c r="N146" s="335"/>
      <c r="O146" s="162">
        <f t="shared" si="33"/>
        <v>0</v>
      </c>
      <c r="P146" s="162">
        <f t="shared" si="34"/>
        <v>0</v>
      </c>
    </row>
    <row r="147" spans="2:16">
      <c r="B147" s="9" t="str">
        <f t="shared" si="24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9"/>
        <v>0</v>
      </c>
      <c r="G147" s="163">
        <f t="shared" si="30"/>
        <v>0</v>
      </c>
      <c r="H147" s="167">
        <f t="shared" si="27"/>
        <v>0</v>
      </c>
      <c r="I147" s="317">
        <f t="shared" si="28"/>
        <v>0</v>
      </c>
      <c r="J147" s="162">
        <f t="shared" si="31"/>
        <v>0</v>
      </c>
      <c r="K147" s="162"/>
      <c r="L147" s="335"/>
      <c r="M147" s="162">
        <f t="shared" si="32"/>
        <v>0</v>
      </c>
      <c r="N147" s="335"/>
      <c r="O147" s="162">
        <f t="shared" si="33"/>
        <v>0</v>
      </c>
      <c r="P147" s="162">
        <f t="shared" si="34"/>
        <v>0</v>
      </c>
    </row>
    <row r="148" spans="2:16">
      <c r="B148" s="9" t="str">
        <f t="shared" si="24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9"/>
        <v>0</v>
      </c>
      <c r="G148" s="163">
        <f t="shared" si="30"/>
        <v>0</v>
      </c>
      <c r="H148" s="167">
        <f t="shared" si="27"/>
        <v>0</v>
      </c>
      <c r="I148" s="317">
        <f t="shared" si="28"/>
        <v>0</v>
      </c>
      <c r="J148" s="162">
        <f t="shared" si="31"/>
        <v>0</v>
      </c>
      <c r="K148" s="162"/>
      <c r="L148" s="335"/>
      <c r="M148" s="162">
        <f t="shared" si="32"/>
        <v>0</v>
      </c>
      <c r="N148" s="335"/>
      <c r="O148" s="162">
        <f t="shared" si="33"/>
        <v>0</v>
      </c>
      <c r="P148" s="162">
        <f t="shared" si="34"/>
        <v>0</v>
      </c>
    </row>
    <row r="149" spans="2:16">
      <c r="B149" s="9" t="str">
        <f t="shared" si="24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9"/>
        <v>0</v>
      </c>
      <c r="G149" s="163">
        <f t="shared" si="30"/>
        <v>0</v>
      </c>
      <c r="H149" s="167">
        <f t="shared" si="27"/>
        <v>0</v>
      </c>
      <c r="I149" s="317">
        <f t="shared" si="28"/>
        <v>0</v>
      </c>
      <c r="J149" s="162">
        <f t="shared" si="31"/>
        <v>0</v>
      </c>
      <c r="K149" s="162"/>
      <c r="L149" s="335"/>
      <c r="M149" s="162">
        <f t="shared" si="32"/>
        <v>0</v>
      </c>
      <c r="N149" s="335"/>
      <c r="O149" s="162">
        <f t="shared" si="33"/>
        <v>0</v>
      </c>
      <c r="P149" s="162">
        <f t="shared" si="34"/>
        <v>0</v>
      </c>
    </row>
    <row r="150" spans="2:16">
      <c r="B150" s="9" t="str">
        <f t="shared" si="24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9"/>
        <v>0</v>
      </c>
      <c r="G150" s="163">
        <f t="shared" si="30"/>
        <v>0</v>
      </c>
      <c r="H150" s="167">
        <f t="shared" si="27"/>
        <v>0</v>
      </c>
      <c r="I150" s="317">
        <f t="shared" si="28"/>
        <v>0</v>
      </c>
      <c r="J150" s="162">
        <f t="shared" si="31"/>
        <v>0</v>
      </c>
      <c r="K150" s="162"/>
      <c r="L150" s="335"/>
      <c r="M150" s="162">
        <f t="shared" si="32"/>
        <v>0</v>
      </c>
      <c r="N150" s="335"/>
      <c r="O150" s="162">
        <f t="shared" si="33"/>
        <v>0</v>
      </c>
      <c r="P150" s="162">
        <f t="shared" si="34"/>
        <v>0</v>
      </c>
    </row>
    <row r="151" spans="2:16">
      <c r="B151" s="9" t="str">
        <f t="shared" si="24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9"/>
        <v>0</v>
      </c>
      <c r="G151" s="163">
        <f t="shared" si="30"/>
        <v>0</v>
      </c>
      <c r="H151" s="167">
        <f t="shared" si="27"/>
        <v>0</v>
      </c>
      <c r="I151" s="317">
        <f t="shared" si="28"/>
        <v>0</v>
      </c>
      <c r="J151" s="162">
        <f t="shared" si="31"/>
        <v>0</v>
      </c>
      <c r="K151" s="162"/>
      <c r="L151" s="335"/>
      <c r="M151" s="162">
        <f t="shared" si="32"/>
        <v>0</v>
      </c>
      <c r="N151" s="335"/>
      <c r="O151" s="162">
        <f t="shared" si="33"/>
        <v>0</v>
      </c>
      <c r="P151" s="162">
        <f t="shared" si="34"/>
        <v>0</v>
      </c>
    </row>
    <row r="152" spans="2:16">
      <c r="B152" s="9" t="str">
        <f t="shared" si="24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9"/>
        <v>0</v>
      </c>
      <c r="G152" s="163">
        <f t="shared" si="30"/>
        <v>0</v>
      </c>
      <c r="H152" s="167">
        <f t="shared" si="27"/>
        <v>0</v>
      </c>
      <c r="I152" s="317">
        <f t="shared" si="28"/>
        <v>0</v>
      </c>
      <c r="J152" s="162">
        <f t="shared" si="31"/>
        <v>0</v>
      </c>
      <c r="K152" s="162"/>
      <c r="L152" s="335"/>
      <c r="M152" s="162">
        <f t="shared" si="32"/>
        <v>0</v>
      </c>
      <c r="N152" s="335"/>
      <c r="O152" s="162">
        <f t="shared" si="33"/>
        <v>0</v>
      </c>
      <c r="P152" s="162">
        <f t="shared" si="34"/>
        <v>0</v>
      </c>
    </row>
    <row r="153" spans="2:16">
      <c r="B153" s="9" t="str">
        <f t="shared" si="24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9"/>
        <v>0</v>
      </c>
      <c r="G153" s="163">
        <f t="shared" si="30"/>
        <v>0</v>
      </c>
      <c r="H153" s="167">
        <f t="shared" si="27"/>
        <v>0</v>
      </c>
      <c r="I153" s="317">
        <f t="shared" si="28"/>
        <v>0</v>
      </c>
      <c r="J153" s="162">
        <f t="shared" si="31"/>
        <v>0</v>
      </c>
      <c r="K153" s="162"/>
      <c r="L153" s="335"/>
      <c r="M153" s="162">
        <f t="shared" si="32"/>
        <v>0</v>
      </c>
      <c r="N153" s="335"/>
      <c r="O153" s="162">
        <f t="shared" si="33"/>
        <v>0</v>
      </c>
      <c r="P153" s="162">
        <f t="shared" si="34"/>
        <v>0</v>
      </c>
    </row>
    <row r="154" spans="2:16" ht="13.5" thickBot="1">
      <c r="B154" s="9" t="str">
        <f t="shared" si="24"/>
        <v/>
      </c>
      <c r="C154" s="168">
        <f>IF(D93="","-",+C153+1)</f>
        <v>2063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29"/>
        <v>0</v>
      </c>
      <c r="G154" s="169">
        <f t="shared" si="30"/>
        <v>0</v>
      </c>
      <c r="H154" s="171">
        <f t="shared" si="27"/>
        <v>0</v>
      </c>
      <c r="I154" s="318">
        <f t="shared" si="28"/>
        <v>0</v>
      </c>
      <c r="J154" s="173">
        <f t="shared" si="31"/>
        <v>0</v>
      </c>
      <c r="K154" s="162"/>
      <c r="L154" s="336"/>
      <c r="M154" s="173">
        <f t="shared" si="32"/>
        <v>0</v>
      </c>
      <c r="N154" s="336"/>
      <c r="O154" s="173">
        <f t="shared" si="33"/>
        <v>0</v>
      </c>
      <c r="P154" s="173">
        <f t="shared" si="34"/>
        <v>0</v>
      </c>
    </row>
    <row r="155" spans="2:16">
      <c r="C155" s="158" t="s">
        <v>72</v>
      </c>
      <c r="D155" s="115"/>
      <c r="E155" s="115">
        <f>SUM(E99:E154)</f>
        <v>1520502</v>
      </c>
      <c r="F155" s="115"/>
      <c r="G155" s="115"/>
      <c r="H155" s="115">
        <f>SUM(H99:H154)</f>
        <v>6295565.545136448</v>
      </c>
      <c r="I155" s="115">
        <f>SUM(I99:I154)</f>
        <v>6295565.545136448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9B90AB8-5C85-4E19-9E94-32113EDA37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28</vt:i4>
      </vt:variant>
    </vt:vector>
  </HeadingPairs>
  <TitlesOfParts>
    <vt:vector size="59" baseType="lpstr">
      <vt:lpstr>PSO Sch 11 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'PSO Sch 11 Rates'!Print_Area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2018-12-17T16:13:23Z</cp:lastPrinted>
  <dcterms:created xsi:type="dcterms:W3CDTF">2009-05-11T14:02:48Z</dcterms:created>
  <dcterms:modified xsi:type="dcterms:W3CDTF">2019-07-19T13:25:54Z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a56e9538-369d-4467-bffb-60b96d45acff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